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4200" windowHeight="1146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19" r:id="rId5"/>
  </pivotCaches>
</workbook>
</file>

<file path=xl/calcChain.xml><?xml version="1.0" encoding="utf-8"?>
<calcChain xmlns="http://schemas.openxmlformats.org/spreadsheetml/2006/main">
  <c r="F10" i="29" l="1"/>
  <c r="C5" i="29"/>
  <c r="E20" i="29" l="1"/>
  <c r="D20" i="29"/>
  <c r="L3" i="18" l="1"/>
  <c r="H211" i="18"/>
  <c r="H21" i="18" l="1"/>
  <c r="H29" i="18"/>
  <c r="H53" i="18"/>
  <c r="H61" i="18"/>
  <c r="H37" i="18"/>
  <c r="H69" i="18"/>
  <c r="H45" i="18"/>
  <c r="H77" i="18"/>
  <c r="H93" i="18"/>
  <c r="H109" i="18"/>
  <c r="H141" i="18"/>
  <c r="H72" i="18"/>
  <c r="H112" i="18"/>
  <c r="H136" i="18"/>
  <c r="H144" i="18"/>
  <c r="H152" i="18"/>
  <c r="H160" i="18"/>
  <c r="H168" i="18"/>
  <c r="H176" i="18"/>
  <c r="H184" i="18"/>
  <c r="H200" i="18"/>
  <c r="H32" i="18"/>
  <c r="H48" i="18"/>
  <c r="H64" i="18"/>
  <c r="H80" i="18"/>
  <c r="H96" i="18"/>
  <c r="H128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88" i="18"/>
  <c r="H204" i="18"/>
  <c r="H85" i="18"/>
  <c r="H101" i="18"/>
  <c r="H117" i="18"/>
  <c r="H125" i="18"/>
  <c r="H133" i="18"/>
  <c r="H149" i="18"/>
  <c r="H157" i="18"/>
  <c r="H165" i="18"/>
  <c r="H173" i="18"/>
  <c r="H181" i="18"/>
  <c r="H196" i="18"/>
  <c r="H24" i="18"/>
  <c r="H40" i="18"/>
  <c r="H56" i="18"/>
  <c r="H88" i="18"/>
  <c r="H104" i="18"/>
  <c r="H120" i="18"/>
  <c r="H20" i="18"/>
  <c r="H28" i="18"/>
  <c r="H36" i="18"/>
  <c r="H44" i="18"/>
  <c r="H52" i="18"/>
  <c r="H60" i="18"/>
  <c r="H68" i="18"/>
  <c r="H76" i="18"/>
  <c r="H84" i="18"/>
  <c r="H92" i="18"/>
  <c r="H100" i="18"/>
  <c r="H108" i="18"/>
  <c r="H116" i="18"/>
  <c r="H124" i="18"/>
  <c r="H132" i="18"/>
  <c r="H140" i="18"/>
  <c r="H148" i="18"/>
  <c r="H156" i="18"/>
  <c r="H164" i="18"/>
  <c r="H172" i="18"/>
  <c r="H180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E10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D57" i="18"/>
  <c r="C54" i="18"/>
  <c r="C66" i="18"/>
  <c r="C78" i="18" s="1"/>
  <c r="C64" i="18"/>
  <c r="C76" i="18" s="1"/>
  <c r="C63" i="18"/>
  <c r="C87" i="18" s="1"/>
  <c r="C99" i="18" s="1"/>
  <c r="C111" i="18" s="1"/>
  <c r="C123" i="18" s="1"/>
  <c r="C135" i="18" s="1"/>
  <c r="C147" i="18" s="1"/>
  <c r="C159" i="18" s="1"/>
  <c r="C44" i="18"/>
  <c r="D66" i="18"/>
  <c r="D78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D32" i="29"/>
  <c r="H36" i="29"/>
  <c r="D24" i="29"/>
  <c r="G30" i="29"/>
  <c r="G28" i="29"/>
  <c r="D30" i="29"/>
  <c r="G29" i="29"/>
  <c r="E35" i="29"/>
  <c r="E33" i="29"/>
  <c r="G24" i="29"/>
  <c r="H29" i="29"/>
  <c r="H22" i="29"/>
  <c r="G35" i="29"/>
  <c r="D26" i="29"/>
  <c r="H23" i="29"/>
  <c r="E26" i="29"/>
  <c r="H30" i="29"/>
  <c r="E30" i="29"/>
  <c r="G27" i="29"/>
  <c r="E27" i="29"/>
  <c r="D25" i="29"/>
  <c r="D23" i="29"/>
  <c r="E36" i="29"/>
  <c r="H28" i="29"/>
  <c r="H26" i="29"/>
  <c r="E21" i="29"/>
  <c r="H25" i="29"/>
  <c r="H31" i="29"/>
  <c r="E24" i="29"/>
  <c r="D37" i="29"/>
  <c r="H21" i="29"/>
  <c r="G21" i="29"/>
  <c r="H35" i="29"/>
  <c r="E37" i="29"/>
  <c r="D36" i="29"/>
  <c r="E31" i="29"/>
  <c r="D22" i="29"/>
  <c r="H27" i="29"/>
  <c r="G32" i="29"/>
  <c r="G36" i="29"/>
  <c r="H24" i="29"/>
  <c r="E23" i="29"/>
  <c r="G37" i="29"/>
  <c r="D31" i="29"/>
  <c r="D33" i="29"/>
  <c r="D29" i="29"/>
  <c r="G33" i="29"/>
  <c r="H32" i="29"/>
  <c r="E25" i="29"/>
  <c r="G25" i="29"/>
  <c r="D27" i="29"/>
  <c r="E32" i="29"/>
  <c r="H37" i="29"/>
  <c r="D35" i="29"/>
  <c r="G22" i="29"/>
  <c r="G23" i="29"/>
  <c r="D21" i="29"/>
  <c r="G26" i="29"/>
  <c r="D28" i="29"/>
  <c r="E29" i="29"/>
  <c r="H33" i="29"/>
  <c r="E22" i="29"/>
  <c r="E28" i="29"/>
  <c r="G31" i="29"/>
  <c r="C3" i="29" l="1"/>
  <c r="D79" i="18"/>
  <c r="D55" i="18"/>
  <c r="C90" i="18"/>
  <c r="C102" i="18" s="1"/>
  <c r="C114" i="18" s="1"/>
  <c r="C126" i="18" s="1"/>
  <c r="C138" i="18" s="1"/>
  <c r="C150" i="18" s="1"/>
  <c r="C162" i="18" s="1"/>
  <c r="D53" i="18"/>
  <c r="C53" i="18"/>
  <c r="C88" i="18"/>
  <c r="C100" i="18" s="1"/>
  <c r="C112" i="18" s="1"/>
  <c r="C124" i="18" s="1"/>
  <c r="C136" i="18" s="1"/>
  <c r="C148" i="18" s="1"/>
  <c r="C160" i="18" s="1"/>
  <c r="C75" i="18"/>
  <c r="D50" i="18"/>
  <c r="C61" i="18"/>
  <c r="D46" i="18"/>
  <c r="C57" i="18"/>
  <c r="C81" i="18" s="1"/>
  <c r="C93" i="18" s="1"/>
  <c r="C105" i="18" s="1"/>
  <c r="C117" i="18" s="1"/>
  <c r="C129" i="18" s="1"/>
  <c r="C141" i="18" s="1"/>
  <c r="C153" i="18" s="1"/>
  <c r="C80" i="18"/>
  <c r="C92" i="18" s="1"/>
  <c r="C104" i="18" s="1"/>
  <c r="C116" i="18" s="1"/>
  <c r="C128" i="18" s="1"/>
  <c r="C140" i="18" s="1"/>
  <c r="C152" i="18" s="1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D80" i="18"/>
  <c r="D92" i="18" s="1"/>
  <c r="D104" i="18" s="1"/>
  <c r="D116" i="18" s="1"/>
  <c r="D128" i="18" s="1"/>
  <c r="D140" i="18" s="1"/>
  <c r="D152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69" i="18"/>
  <c r="D81" i="18"/>
  <c r="D93" i="18" s="1"/>
  <c r="D105" i="18" s="1"/>
  <c r="D117" i="18" s="1"/>
  <c r="D129" i="18" s="1"/>
  <c r="D141" i="18" s="1"/>
  <c r="D153" i="18" s="1"/>
  <c r="D75" i="18"/>
  <c r="K163" i="18"/>
  <c r="K172" i="18"/>
  <c r="K112" i="18"/>
  <c r="D64" i="18"/>
  <c r="D52" i="18"/>
  <c r="D186" i="18" l="1"/>
  <c r="D198" i="18" s="1"/>
  <c r="D210" i="18" s="1"/>
  <c r="D182" i="18"/>
  <c r="D194" i="18" s="1"/>
  <c r="D206" i="18" s="1"/>
  <c r="C73" i="18"/>
  <c r="C85" i="18"/>
  <c r="C97" i="18" s="1"/>
  <c r="C109" i="18" s="1"/>
  <c r="C121" i="18" s="1"/>
  <c r="C133" i="18" s="1"/>
  <c r="C145" i="18" s="1"/>
  <c r="C157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D168" i="18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C181" i="18" l="1"/>
  <c r="C193" i="18" s="1"/>
  <c r="C205" i="18" s="1"/>
  <c r="C169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I135" i="18" l="1"/>
  <c r="J135" i="18" s="1"/>
  <c r="L135" i="18" s="1"/>
  <c r="I21" i="18"/>
  <c r="J21" i="18" s="1"/>
  <c r="L21" i="18" s="1"/>
  <c r="I178" i="18"/>
  <c r="J178" i="18" s="1"/>
  <c r="L178" i="18" s="1"/>
  <c r="I200" i="18"/>
  <c r="J200" i="18" s="1"/>
  <c r="L200" i="18" s="1"/>
  <c r="I97" i="18"/>
  <c r="J97" i="18" s="1"/>
  <c r="L97" i="18" s="1"/>
  <c r="I147" i="18"/>
  <c r="J147" i="18" s="1"/>
  <c r="L147" i="18" s="1"/>
  <c r="I168" i="18"/>
  <c r="J168" i="18" s="1"/>
  <c r="L168" i="18" s="1"/>
  <c r="I71" i="18"/>
  <c r="J71" i="18" s="1"/>
  <c r="L71" i="18" s="1"/>
  <c r="I186" i="18"/>
  <c r="J186" i="18" s="1"/>
  <c r="L186" i="18" s="1"/>
  <c r="I176" i="18"/>
  <c r="J176" i="18" s="1"/>
  <c r="L176" i="18" s="1"/>
  <c r="I202" i="18"/>
  <c r="J202" i="18" s="1"/>
  <c r="L202" i="18" s="1"/>
  <c r="I190" i="18"/>
  <c r="J190" i="18" s="1"/>
  <c r="L190" i="18" s="1"/>
  <c r="I95" i="18"/>
  <c r="J95" i="18" s="1"/>
  <c r="L95" i="18" s="1"/>
  <c r="I99" i="18"/>
  <c r="J99" i="18" s="1"/>
  <c r="L99" i="18" s="1"/>
  <c r="I169" i="18"/>
  <c r="J169" i="18" s="1"/>
  <c r="L169" i="18" s="1"/>
  <c r="I210" i="18"/>
  <c r="J210" i="18" s="1"/>
  <c r="L210" i="18" s="1"/>
  <c r="I80" i="18"/>
  <c r="J80" i="18" s="1"/>
  <c r="L80" i="18" s="1"/>
  <c r="I191" i="18"/>
  <c r="J191" i="18" s="1"/>
  <c r="L191" i="18" s="1"/>
  <c r="I55" i="18"/>
  <c r="J55" i="18" s="1"/>
  <c r="L55" i="18" s="1"/>
  <c r="I180" i="18"/>
  <c r="J180" i="18" s="1"/>
  <c r="L180" i="18" s="1"/>
  <c r="F14" i="29"/>
  <c r="I90" i="18"/>
  <c r="J90" i="18" s="1"/>
  <c r="L90" i="18" s="1"/>
  <c r="I41" i="18"/>
  <c r="J41" i="18" s="1"/>
  <c r="L41" i="18" s="1"/>
  <c r="I137" i="18"/>
  <c r="J137" i="18" s="1"/>
  <c r="L137" i="18" s="1"/>
  <c r="I207" i="18"/>
  <c r="J207" i="18" s="1"/>
  <c r="L207" i="18" s="1"/>
  <c r="I86" i="18"/>
  <c r="J86" i="18" s="1"/>
  <c r="L86" i="18" s="1"/>
  <c r="I92" i="18"/>
  <c r="J92" i="18" s="1"/>
  <c r="L92" i="18" s="1"/>
  <c r="I29" i="18"/>
  <c r="J29" i="18" s="1"/>
  <c r="L29" i="18" s="1"/>
  <c r="I130" i="18"/>
  <c r="J130" i="18" s="1"/>
  <c r="L130" i="18" s="1"/>
  <c r="I104" i="18"/>
  <c r="J104" i="18" s="1"/>
  <c r="L104" i="18" s="1"/>
  <c r="I63" i="18"/>
  <c r="J63" i="18" s="1"/>
  <c r="L63" i="18" s="1"/>
  <c r="I183" i="18"/>
  <c r="J183" i="18" s="1"/>
  <c r="L183" i="18" s="1"/>
  <c r="I160" i="18"/>
  <c r="J160" i="18" s="1"/>
  <c r="L160" i="18" s="1"/>
  <c r="I201" i="18"/>
  <c r="J201" i="18" s="1"/>
  <c r="L201" i="18" s="1"/>
  <c r="I53" i="18"/>
  <c r="J53" i="18" s="1"/>
  <c r="L53" i="18" s="1"/>
  <c r="I208" i="18"/>
  <c r="J208" i="18" s="1"/>
  <c r="L208" i="18" s="1"/>
  <c r="I129" i="18"/>
  <c r="J129" i="18" s="1"/>
  <c r="L129" i="18" s="1"/>
  <c r="I177" i="18"/>
  <c r="J177" i="18" s="1"/>
  <c r="L177" i="18" s="1"/>
  <c r="I26" i="18"/>
  <c r="J26" i="18" s="1"/>
  <c r="L26" i="18" s="1"/>
  <c r="I22" i="18"/>
  <c r="J22" i="18" s="1"/>
  <c r="L22" i="18" s="1"/>
  <c r="I105" i="18"/>
  <c r="J105" i="18" s="1"/>
  <c r="L105" i="18" s="1"/>
  <c r="I37" i="18"/>
  <c r="J37" i="18" s="1"/>
  <c r="L37" i="18" s="1"/>
  <c r="I179" i="18"/>
  <c r="J179" i="18" s="1"/>
  <c r="L179" i="18" s="1"/>
  <c r="I136" i="18"/>
  <c r="J136" i="18" s="1"/>
  <c r="L136" i="18" s="1"/>
  <c r="I204" i="18"/>
  <c r="J204" i="18" s="1"/>
  <c r="L204" i="18" s="1"/>
  <c r="I52" i="18"/>
  <c r="J52" i="18" s="1"/>
  <c r="L52" i="18" s="1"/>
  <c r="I60" i="18"/>
  <c r="J60" i="18" s="1"/>
  <c r="L60" i="18" s="1"/>
  <c r="I153" i="18"/>
  <c r="J153" i="18" s="1"/>
  <c r="L153" i="18" s="1"/>
  <c r="I175" i="18"/>
  <c r="J175" i="18" s="1"/>
  <c r="L175" i="18" s="1"/>
  <c r="I157" i="18"/>
  <c r="J157" i="18" s="1"/>
  <c r="L157" i="18" s="1"/>
  <c r="I94" i="18"/>
  <c r="J94" i="18" s="1"/>
  <c r="L94" i="18" s="1"/>
  <c r="I30" i="18"/>
  <c r="J30" i="18" s="1"/>
  <c r="L30" i="18" s="1"/>
  <c r="I72" i="18"/>
  <c r="J72" i="18" s="1"/>
  <c r="L72" i="18" s="1"/>
  <c r="I70" i="18"/>
  <c r="J70" i="18" s="1"/>
  <c r="L70" i="18" s="1"/>
  <c r="I24" i="18"/>
  <c r="J24" i="18" s="1"/>
  <c r="L24" i="18" s="1"/>
  <c r="I138" i="18"/>
  <c r="J138" i="18" s="1"/>
  <c r="L138" i="18" s="1"/>
  <c r="I171" i="18"/>
  <c r="J171" i="18" s="1"/>
  <c r="L171" i="18" s="1"/>
  <c r="I111" i="18"/>
  <c r="J111" i="18" s="1"/>
  <c r="L111" i="18" s="1"/>
  <c r="I59" i="18"/>
  <c r="J59" i="18" s="1"/>
  <c r="L59" i="18" s="1"/>
  <c r="I39" i="18"/>
  <c r="J39" i="18" s="1"/>
  <c r="L39" i="18" s="1"/>
  <c r="I47" i="18"/>
  <c r="J47" i="18" s="1"/>
  <c r="L47" i="18" s="1"/>
  <c r="I98" i="18"/>
  <c r="J98" i="18" s="1"/>
  <c r="L98" i="18" s="1"/>
  <c r="I206" i="18"/>
  <c r="J206" i="18" s="1"/>
  <c r="L206" i="18" s="1"/>
  <c r="I198" i="18"/>
  <c r="J198" i="18" s="1"/>
  <c r="L198" i="18" s="1"/>
  <c r="I96" i="18"/>
  <c r="J96" i="18" s="1"/>
  <c r="L96" i="18" s="1"/>
  <c r="I165" i="18"/>
  <c r="J165" i="18" s="1"/>
  <c r="L165" i="18" s="1"/>
  <c r="I109" i="18"/>
  <c r="J109" i="18" s="1"/>
  <c r="L109" i="18" s="1"/>
  <c r="I166" i="18"/>
  <c r="J166" i="18" s="1"/>
  <c r="L166" i="18" s="1"/>
  <c r="I184" i="18"/>
  <c r="J184" i="18" s="1"/>
  <c r="L184" i="18" s="1"/>
  <c r="I134" i="18"/>
  <c r="J134" i="18" s="1"/>
  <c r="L134" i="18" s="1"/>
  <c r="I117" i="18"/>
  <c r="J117" i="18" s="1"/>
  <c r="L117" i="18" s="1"/>
  <c r="I118" i="18"/>
  <c r="J118" i="18" s="1"/>
  <c r="L118" i="18" s="1"/>
  <c r="I142" i="18"/>
  <c r="J142" i="18" s="1"/>
  <c r="L142" i="18" s="1"/>
  <c r="I66" i="18"/>
  <c r="J66" i="18" s="1"/>
  <c r="L66" i="18" s="1"/>
  <c r="I40" i="18"/>
  <c r="J40" i="18" s="1"/>
  <c r="L40" i="18" s="1"/>
  <c r="I61" i="18"/>
  <c r="J61" i="18" s="1"/>
  <c r="L61" i="18" s="1"/>
  <c r="I114" i="18"/>
  <c r="J114" i="18" s="1"/>
  <c r="L114" i="18" s="1"/>
  <c r="I32" i="18"/>
  <c r="J32" i="18" s="1"/>
  <c r="L32" i="18" s="1"/>
  <c r="I124" i="18"/>
  <c r="J124" i="18" s="1"/>
  <c r="L124" i="18" s="1"/>
  <c r="I209" i="18"/>
  <c r="J209" i="18" s="1"/>
  <c r="L209" i="18" s="1"/>
  <c r="I115" i="18"/>
  <c r="J115" i="18" s="1"/>
  <c r="L115" i="18" s="1"/>
  <c r="I57" i="18"/>
  <c r="J57" i="18" s="1"/>
  <c r="L57" i="18" s="1"/>
  <c r="I113" i="18"/>
  <c r="J113" i="18" s="1"/>
  <c r="L113" i="18" s="1"/>
  <c r="I31" i="18"/>
  <c r="J31" i="18" s="1"/>
  <c r="L31" i="18" s="1"/>
  <c r="I91" i="18"/>
  <c r="J91" i="18" s="1"/>
  <c r="L91" i="18" s="1"/>
  <c r="I199" i="18"/>
  <c r="J199" i="18" s="1"/>
  <c r="L199" i="18" s="1"/>
  <c r="I38" i="18"/>
  <c r="J38" i="18" s="1"/>
  <c r="L38" i="18" s="1"/>
  <c r="I158" i="18"/>
  <c r="J158" i="18" s="1"/>
  <c r="L158" i="18" s="1"/>
  <c r="I211" i="18"/>
  <c r="J211" i="18" s="1"/>
  <c r="L211" i="18" s="1"/>
  <c r="I45" i="18"/>
  <c r="J45" i="18" s="1"/>
  <c r="L45" i="18" s="1"/>
  <c r="I146" i="18"/>
  <c r="J146" i="18" s="1"/>
  <c r="L146" i="18" s="1"/>
  <c r="I145" i="18"/>
  <c r="J145" i="18" s="1"/>
  <c r="L145" i="18" s="1"/>
  <c r="I44" i="18"/>
  <c r="J44" i="18" s="1"/>
  <c r="L44" i="18" s="1"/>
  <c r="I131" i="18"/>
  <c r="J131" i="18" s="1"/>
  <c r="L131" i="18" s="1"/>
  <c r="I189" i="18"/>
  <c r="J189" i="18" s="1"/>
  <c r="L189" i="18" s="1"/>
  <c r="I185" i="18"/>
  <c r="J185" i="18" s="1"/>
  <c r="L185" i="18" s="1"/>
  <c r="I174" i="18"/>
  <c r="J174" i="18" s="1"/>
  <c r="L174" i="18" s="1"/>
  <c r="I123" i="18"/>
  <c r="J123" i="18" s="1"/>
  <c r="L123" i="18" s="1"/>
  <c r="I154" i="18"/>
  <c r="J154" i="18" s="1"/>
  <c r="L154" i="18" s="1"/>
  <c r="I149" i="18"/>
  <c r="J149" i="18" s="1"/>
  <c r="L149" i="18" s="1"/>
  <c r="I28" i="18"/>
  <c r="J28" i="18" s="1"/>
  <c r="L28" i="18" s="1"/>
  <c r="I173" i="18"/>
  <c r="J173" i="18" s="1"/>
  <c r="L173" i="18" s="1"/>
  <c r="I54" i="18"/>
  <c r="J54" i="18" s="1"/>
  <c r="L54" i="18" s="1"/>
  <c r="I49" i="18"/>
  <c r="J49" i="18" s="1"/>
  <c r="L49" i="18" s="1"/>
  <c r="I162" i="18"/>
  <c r="J162" i="18" s="1"/>
  <c r="L162" i="18" s="1"/>
  <c r="I79" i="18"/>
  <c r="J79" i="18" s="1"/>
  <c r="L79" i="18" s="1"/>
  <c r="I42" i="18"/>
  <c r="J42" i="18" s="1"/>
  <c r="L42" i="18" s="1"/>
  <c r="I144" i="18"/>
  <c r="J144" i="18" s="1"/>
  <c r="L144" i="18" s="1"/>
  <c r="I197" i="18"/>
  <c r="J197" i="18" s="1"/>
  <c r="L197" i="18" s="1"/>
  <c r="I101" i="18"/>
  <c r="J101" i="18" s="1"/>
  <c r="L101" i="18" s="1"/>
  <c r="I140" i="18"/>
  <c r="J140" i="18" s="1"/>
  <c r="L140" i="18" s="1"/>
  <c r="I68" i="18"/>
  <c r="J68" i="18" s="1"/>
  <c r="L68" i="18" s="1"/>
  <c r="I119" i="18"/>
  <c r="J119" i="18" s="1"/>
  <c r="L119" i="18" s="1"/>
  <c r="I78" i="18"/>
  <c r="J78" i="18" s="1"/>
  <c r="L78" i="18" s="1"/>
  <c r="I161" i="18"/>
  <c r="J161" i="18" s="1"/>
  <c r="L161" i="18" s="1"/>
  <c r="I82" i="18"/>
  <c r="J82" i="18" s="1"/>
  <c r="L82" i="18" s="1"/>
  <c r="I77" i="18"/>
  <c r="J77" i="18" s="1"/>
  <c r="L77" i="18" s="1"/>
  <c r="I73" i="18"/>
  <c r="J73" i="18" s="1"/>
  <c r="L73" i="18" s="1"/>
  <c r="I205" i="18"/>
  <c r="J205" i="18" s="1"/>
  <c r="L205" i="18" s="1"/>
  <c r="I116" i="18"/>
  <c r="J116" i="18" s="1"/>
  <c r="L116" i="18" s="1"/>
  <c r="I76" i="18"/>
  <c r="J76" i="18" s="1"/>
  <c r="L76" i="18" s="1"/>
  <c r="I170" i="18"/>
  <c r="J170" i="18" s="1"/>
  <c r="L170" i="18" s="1"/>
  <c r="I122" i="18"/>
  <c r="J122" i="18" s="1"/>
  <c r="L122" i="18" s="1"/>
  <c r="I48" i="18"/>
  <c r="J48" i="18" s="1"/>
  <c r="L48" i="18" s="1"/>
  <c r="I85" i="18"/>
  <c r="J85" i="18" s="1"/>
  <c r="L85" i="18" s="1"/>
  <c r="I100" i="18"/>
  <c r="J100" i="18" s="1"/>
  <c r="L100" i="18" s="1"/>
  <c r="I67" i="18"/>
  <c r="J67" i="18" s="1"/>
  <c r="L67" i="18" s="1"/>
  <c r="I23" i="18"/>
  <c r="J23" i="18" s="1"/>
  <c r="L23" i="18" s="1"/>
  <c r="I133" i="18"/>
  <c r="J133" i="18" s="1"/>
  <c r="L133" i="18" s="1"/>
  <c r="I34" i="18"/>
  <c r="J34" i="18" s="1"/>
  <c r="L34" i="18" s="1"/>
  <c r="I75" i="18"/>
  <c r="J75" i="18" s="1"/>
  <c r="L75" i="18" s="1"/>
  <c r="I121" i="18"/>
  <c r="J121" i="18" s="1"/>
  <c r="L121" i="18" s="1"/>
  <c r="I193" i="18"/>
  <c r="J193" i="18" s="1"/>
  <c r="L193" i="18" s="1"/>
  <c r="I167" i="18"/>
  <c r="J167" i="18" s="1"/>
  <c r="L167" i="18" s="1"/>
  <c r="I108" i="18"/>
  <c r="J108" i="18" s="1"/>
  <c r="L108" i="18" s="1"/>
  <c r="I87" i="18"/>
  <c r="J87" i="18" s="1"/>
  <c r="L87" i="18" s="1"/>
  <c r="I69" i="18"/>
  <c r="J69" i="18" s="1"/>
  <c r="L69" i="18" s="1"/>
  <c r="I188" i="18"/>
  <c r="J188" i="18" s="1"/>
  <c r="L188" i="18" s="1"/>
  <c r="I172" i="18"/>
  <c r="J172" i="18" s="1"/>
  <c r="L172" i="18" s="1"/>
  <c r="I195" i="18"/>
  <c r="J195" i="18" s="1"/>
  <c r="L195" i="18" s="1"/>
  <c r="I36" i="18"/>
  <c r="J36" i="18" s="1"/>
  <c r="L36" i="18" s="1"/>
  <c r="I88" i="18"/>
  <c r="J88" i="18" s="1"/>
  <c r="L88" i="18" s="1"/>
  <c r="I152" i="18"/>
  <c r="J152" i="18" s="1"/>
  <c r="L152" i="18" s="1"/>
  <c r="I27" i="18"/>
  <c r="J27" i="18" s="1"/>
  <c r="L27" i="18" s="1"/>
  <c r="I164" i="18"/>
  <c r="J164" i="18" s="1"/>
  <c r="L164" i="18" s="1"/>
  <c r="I141" i="18"/>
  <c r="J141" i="18" s="1"/>
  <c r="L141" i="18" s="1"/>
  <c r="I192" i="18"/>
  <c r="J192" i="18" s="1"/>
  <c r="L192" i="18" s="1"/>
  <c r="I107" i="18"/>
  <c r="J107" i="18" s="1"/>
  <c r="L107" i="18" s="1"/>
  <c r="I126" i="18"/>
  <c r="J126" i="18" s="1"/>
  <c r="L126" i="18" s="1"/>
  <c r="I64" i="18"/>
  <c r="J64" i="18" s="1"/>
  <c r="L64" i="18" s="1"/>
  <c r="I132" i="18"/>
  <c r="J132" i="18" s="1"/>
  <c r="L132" i="18" s="1"/>
  <c r="I112" i="18"/>
  <c r="J112" i="18" s="1"/>
  <c r="L112" i="18" s="1"/>
  <c r="I156" i="18"/>
  <c r="J156" i="18" s="1"/>
  <c r="L156" i="18" s="1"/>
  <c r="I127" i="18"/>
  <c r="J127" i="18" s="1"/>
  <c r="L127" i="18" s="1"/>
  <c r="I196" i="18"/>
  <c r="J196" i="18" s="1"/>
  <c r="L196" i="18" s="1"/>
  <c r="I151" i="18"/>
  <c r="J151" i="18" s="1"/>
  <c r="L151" i="18" s="1"/>
  <c r="I46" i="18"/>
  <c r="J46" i="18" s="1"/>
  <c r="L46" i="18" s="1"/>
  <c r="I58" i="18"/>
  <c r="J58" i="18" s="1"/>
  <c r="L58" i="18" s="1"/>
  <c r="I143" i="18"/>
  <c r="J143" i="18" s="1"/>
  <c r="L143" i="18" s="1"/>
  <c r="I120" i="18"/>
  <c r="J120" i="18" s="1"/>
  <c r="L120" i="18" s="1"/>
  <c r="I139" i="18"/>
  <c r="J139" i="18" s="1"/>
  <c r="L139" i="18" s="1"/>
  <c r="I155" i="18"/>
  <c r="J155" i="18" s="1"/>
  <c r="L155" i="18" s="1"/>
  <c r="I181" i="18"/>
  <c r="J181" i="18" s="1"/>
  <c r="L181" i="18" s="1"/>
  <c r="I163" i="18"/>
  <c r="J163" i="18" s="1"/>
  <c r="L163" i="18" s="1"/>
  <c r="I187" i="18"/>
  <c r="J187" i="18" s="1"/>
  <c r="L187" i="18" s="1"/>
  <c r="I103" i="18"/>
  <c r="J103" i="18" s="1"/>
  <c r="L103" i="18" s="1"/>
  <c r="I106" i="18"/>
  <c r="J106" i="18" s="1"/>
  <c r="L106" i="18" s="1"/>
  <c r="I25" i="18"/>
  <c r="J25" i="18" s="1"/>
  <c r="L25" i="18" s="1"/>
  <c r="I93" i="18"/>
  <c r="J93" i="18" s="1"/>
  <c r="L93" i="18" s="1"/>
  <c r="I148" i="18"/>
  <c r="J148" i="18" s="1"/>
  <c r="L148" i="18" s="1"/>
  <c r="I150" i="18"/>
  <c r="J150" i="18" s="1"/>
  <c r="L150" i="18" s="1"/>
  <c r="I159" i="18"/>
  <c r="J159" i="18" s="1"/>
  <c r="L159" i="18" s="1"/>
  <c r="I51" i="18"/>
  <c r="J51" i="18" s="1"/>
  <c r="L51" i="18" s="1"/>
  <c r="I20" i="18"/>
  <c r="J20" i="18" s="1"/>
  <c r="I50" i="18"/>
  <c r="J50" i="18" s="1"/>
  <c r="L50" i="18" s="1"/>
  <c r="I83" i="18"/>
  <c r="J83" i="18" s="1"/>
  <c r="L83" i="18" s="1"/>
  <c r="I81" i="18"/>
  <c r="J81" i="18" s="1"/>
  <c r="L81" i="18" s="1"/>
  <c r="I56" i="18"/>
  <c r="J56" i="18" s="1"/>
  <c r="I89" i="18"/>
  <c r="J89" i="18" s="1"/>
  <c r="L89" i="18" s="1"/>
  <c r="I84" i="18"/>
  <c r="J84" i="18" s="1"/>
  <c r="L84" i="18" s="1"/>
  <c r="I43" i="18"/>
  <c r="J43" i="18" s="1"/>
  <c r="L43" i="18" s="1"/>
  <c r="I128" i="18"/>
  <c r="J128" i="18" s="1"/>
  <c r="L128" i="18" s="1"/>
  <c r="I110" i="18"/>
  <c r="J110" i="18" s="1"/>
  <c r="L110" i="18" s="1"/>
  <c r="I33" i="18"/>
  <c r="J33" i="18" s="1"/>
  <c r="L33" i="18" s="1"/>
  <c r="I203" i="18"/>
  <c r="J203" i="18" s="1"/>
  <c r="L203" i="18" s="1"/>
  <c r="I102" i="18"/>
  <c r="J102" i="18" s="1"/>
  <c r="L102" i="18" s="1"/>
  <c r="I74" i="18"/>
  <c r="J74" i="18" s="1"/>
  <c r="L74" i="18" s="1"/>
  <c r="I182" i="18"/>
  <c r="J182" i="18" s="1"/>
  <c r="L182" i="18" s="1"/>
  <c r="I65" i="18"/>
  <c r="J65" i="18" s="1"/>
  <c r="L65" i="18" s="1"/>
  <c r="I125" i="18"/>
  <c r="J125" i="18" s="1"/>
  <c r="L125" i="18" s="1"/>
  <c r="I62" i="18"/>
  <c r="J62" i="18" s="1"/>
  <c r="L62" i="18" s="1"/>
  <c r="I35" i="18"/>
  <c r="J35" i="18" s="1"/>
  <c r="L35" i="18" s="1"/>
  <c r="I194" i="18"/>
  <c r="J194" i="18" s="1"/>
  <c r="L194" i="18" s="1"/>
  <c r="L56" i="18" l="1"/>
  <c r="J13" i="18"/>
  <c r="J14" i="18"/>
  <c r="L20" i="18"/>
  <c r="J212" i="18"/>
  <c r="L212" i="18" l="1"/>
  <c r="L14" i="18"/>
  <c r="L13" i="18"/>
  <c r="M195" i="18" l="1"/>
  <c r="N195" i="18" s="1"/>
  <c r="R195" i="18" s="1"/>
  <c r="M196" i="18"/>
  <c r="N196" i="18" s="1"/>
  <c r="R196" i="18" s="1"/>
  <c r="M20" i="18"/>
  <c r="M182" i="18"/>
  <c r="N182" i="18" s="1"/>
  <c r="R182" i="18" s="1"/>
  <c r="M61" i="18"/>
  <c r="N61" i="18" s="1"/>
  <c r="R61" i="18" s="1"/>
  <c r="M60" i="18"/>
  <c r="N60" i="18" s="1"/>
  <c r="R60" i="18" s="1"/>
  <c r="M39" i="18"/>
  <c r="N39" i="18" s="1"/>
  <c r="R39" i="18" s="1"/>
  <c r="M152" i="18"/>
  <c r="N152" i="18" s="1"/>
  <c r="R152" i="18" s="1"/>
  <c r="M55" i="18"/>
  <c r="N55" i="18" s="1"/>
  <c r="R55" i="18" s="1"/>
  <c r="M84" i="18"/>
  <c r="N84" i="18" s="1"/>
  <c r="R84" i="18" s="1"/>
  <c r="M90" i="18"/>
  <c r="N90" i="18" s="1"/>
  <c r="R90" i="18" s="1"/>
  <c r="M51" i="18"/>
  <c r="N51" i="18" s="1"/>
  <c r="R51" i="18" s="1"/>
  <c r="M163" i="18"/>
  <c r="N163" i="18" s="1"/>
  <c r="R163" i="18" s="1"/>
  <c r="M201" i="18"/>
  <c r="N201" i="18" s="1"/>
  <c r="R201" i="18" s="1"/>
  <c r="M113" i="18"/>
  <c r="N113" i="18" s="1"/>
  <c r="R113" i="18" s="1"/>
  <c r="M81" i="18"/>
  <c r="N81" i="18" s="1"/>
  <c r="R81" i="18" s="1"/>
  <c r="M49" i="18"/>
  <c r="N49" i="18" s="1"/>
  <c r="R49" i="18" s="1"/>
  <c r="M95" i="18"/>
  <c r="N95" i="18" s="1"/>
  <c r="R95" i="18" s="1"/>
  <c r="M175" i="18"/>
  <c r="N175" i="18" s="1"/>
  <c r="R175" i="18" s="1"/>
  <c r="M111" i="18"/>
  <c r="N111" i="18" s="1"/>
  <c r="R111" i="18" s="1"/>
  <c r="M52" i="18"/>
  <c r="N52" i="18" s="1"/>
  <c r="R52" i="18" s="1"/>
  <c r="M31" i="18"/>
  <c r="N31" i="18" s="1"/>
  <c r="R31" i="18" s="1"/>
  <c r="M160" i="18"/>
  <c r="N160" i="18" s="1"/>
  <c r="R160" i="18" s="1"/>
  <c r="M173" i="18"/>
  <c r="N173" i="18" s="1"/>
  <c r="R173" i="18" s="1"/>
  <c r="M153" i="18"/>
  <c r="N153" i="18" s="1"/>
  <c r="R153" i="18" s="1"/>
  <c r="M168" i="18"/>
  <c r="N168" i="18" s="1"/>
  <c r="R168" i="18" s="1"/>
  <c r="M104" i="18"/>
  <c r="N104" i="18" s="1"/>
  <c r="R104" i="18" s="1"/>
  <c r="M77" i="18"/>
  <c r="N77" i="18" s="1"/>
  <c r="R77" i="18" s="1"/>
  <c r="M116" i="18"/>
  <c r="N116" i="18" s="1"/>
  <c r="R116" i="18" s="1"/>
  <c r="M162" i="18"/>
  <c r="N162" i="18" s="1"/>
  <c r="R162" i="18" s="1"/>
  <c r="M157" i="18"/>
  <c r="N157" i="18" s="1"/>
  <c r="R157" i="18" s="1"/>
  <c r="M27" i="18"/>
  <c r="N27" i="18" s="1"/>
  <c r="R27" i="18" s="1"/>
  <c r="M130" i="18"/>
  <c r="N130" i="18" s="1"/>
  <c r="R130" i="18" s="1"/>
  <c r="M185" i="18"/>
  <c r="N185" i="18" s="1"/>
  <c r="R185" i="18" s="1"/>
  <c r="M119" i="18"/>
  <c r="N119" i="18" s="1"/>
  <c r="R119" i="18" s="1"/>
  <c r="M56" i="18"/>
  <c r="M124" i="18"/>
  <c r="N124" i="18" s="1"/>
  <c r="R124" i="18" s="1"/>
  <c r="M210" i="18"/>
  <c r="N210" i="18" s="1"/>
  <c r="R210" i="18" s="1"/>
  <c r="M114" i="18"/>
  <c r="N114" i="18" s="1"/>
  <c r="R114" i="18" s="1"/>
  <c r="M211" i="18"/>
  <c r="N211" i="18" s="1"/>
  <c r="R211" i="18" s="1"/>
  <c r="M179" i="18"/>
  <c r="N179" i="18" s="1"/>
  <c r="R179" i="18" s="1"/>
  <c r="M67" i="18"/>
  <c r="N67" i="18" s="1"/>
  <c r="R67" i="18" s="1"/>
  <c r="M22" i="18"/>
  <c r="N22" i="18" s="1"/>
  <c r="R22" i="18" s="1"/>
  <c r="M21" i="18"/>
  <c r="N21" i="18" s="1"/>
  <c r="R21" i="18" s="1"/>
  <c r="M188" i="18"/>
  <c r="N188" i="18" s="1"/>
  <c r="R188" i="18" s="1"/>
  <c r="M107" i="18"/>
  <c r="N107" i="18" s="1"/>
  <c r="R107" i="18" s="1"/>
  <c r="M91" i="18"/>
  <c r="N91" i="18" s="1"/>
  <c r="R91" i="18" s="1"/>
  <c r="M123" i="18"/>
  <c r="N123" i="18" s="1"/>
  <c r="R123" i="18" s="1"/>
  <c r="M189" i="18"/>
  <c r="N189" i="18" s="1"/>
  <c r="R189" i="18" s="1"/>
  <c r="M126" i="18"/>
  <c r="N126" i="18" s="1"/>
  <c r="R126" i="18" s="1"/>
  <c r="M198" i="18"/>
  <c r="N198" i="18" s="1"/>
  <c r="R198" i="18" s="1"/>
  <c r="M103" i="18"/>
  <c r="N103" i="18" s="1"/>
  <c r="R103" i="18" s="1"/>
  <c r="M38" i="18"/>
  <c r="N38" i="18" s="1"/>
  <c r="R38" i="18" s="1"/>
  <c r="M76" i="18"/>
  <c r="N76" i="18" s="1"/>
  <c r="R76" i="18" s="1"/>
  <c r="M204" i="18"/>
  <c r="N204" i="18" s="1"/>
  <c r="R204" i="18" s="1"/>
  <c r="M87" i="18"/>
  <c r="N87" i="18" s="1"/>
  <c r="R87" i="18" s="1"/>
  <c r="M159" i="18"/>
  <c r="N159" i="18" s="1"/>
  <c r="R159" i="18" s="1"/>
  <c r="M170" i="18"/>
  <c r="N170" i="18" s="1"/>
  <c r="R170" i="18" s="1"/>
  <c r="M58" i="18"/>
  <c r="N58" i="18" s="1"/>
  <c r="R58" i="18" s="1"/>
  <c r="M139" i="18"/>
  <c r="N139" i="18" s="1"/>
  <c r="R139" i="18" s="1"/>
  <c r="M24" i="18"/>
  <c r="N24" i="18" s="1"/>
  <c r="R24" i="18" s="1"/>
  <c r="M86" i="18"/>
  <c r="N86" i="18" s="1"/>
  <c r="R86" i="18" s="1"/>
  <c r="M96" i="18"/>
  <c r="N96" i="18" s="1"/>
  <c r="R96" i="18" s="1"/>
  <c r="M125" i="18"/>
  <c r="N125" i="18" s="1"/>
  <c r="R125" i="18" s="1"/>
  <c r="M78" i="18"/>
  <c r="N78" i="18" s="1"/>
  <c r="R78" i="18" s="1"/>
  <c r="M75" i="18"/>
  <c r="N75" i="18" s="1"/>
  <c r="R75" i="18" s="1"/>
  <c r="M128" i="18"/>
  <c r="N128" i="18" s="1"/>
  <c r="R128" i="18" s="1"/>
  <c r="M26" i="18"/>
  <c r="N26" i="18" s="1"/>
  <c r="R26" i="18" s="1"/>
  <c r="M181" i="18"/>
  <c r="N181" i="18" s="1"/>
  <c r="R181" i="18" s="1"/>
  <c r="M73" i="18"/>
  <c r="N73" i="18" s="1"/>
  <c r="R73" i="18" s="1"/>
  <c r="M25" i="18"/>
  <c r="N25" i="18" s="1"/>
  <c r="R25" i="18" s="1"/>
  <c r="M199" i="18"/>
  <c r="N199" i="18" s="1"/>
  <c r="R199" i="18" s="1"/>
  <c r="M171" i="18"/>
  <c r="N171" i="18" s="1"/>
  <c r="R171" i="18" s="1"/>
  <c r="M145" i="18"/>
  <c r="N145" i="18" s="1"/>
  <c r="R145" i="18" s="1"/>
  <c r="M158" i="18"/>
  <c r="N158" i="18" s="1"/>
  <c r="R158" i="18" s="1"/>
  <c r="M92" i="18"/>
  <c r="N92" i="18" s="1"/>
  <c r="R92" i="18" s="1"/>
  <c r="M174" i="18"/>
  <c r="N174" i="18" s="1"/>
  <c r="R174" i="18" s="1"/>
  <c r="M29" i="18"/>
  <c r="N29" i="18" s="1"/>
  <c r="R29" i="18" s="1"/>
  <c r="M112" i="18"/>
  <c r="N112" i="18" s="1"/>
  <c r="R112" i="18" s="1"/>
  <c r="M143" i="18"/>
  <c r="N143" i="18" s="1"/>
  <c r="R143" i="18" s="1"/>
  <c r="M193" i="18"/>
  <c r="N193" i="18" s="1"/>
  <c r="R193" i="18" s="1"/>
  <c r="M37" i="18"/>
  <c r="N37" i="18" s="1"/>
  <c r="R37" i="18" s="1"/>
  <c r="M203" i="18"/>
  <c r="N203" i="18" s="1"/>
  <c r="R203" i="18" s="1"/>
  <c r="M206" i="18"/>
  <c r="N206" i="18" s="1"/>
  <c r="R206" i="18" s="1"/>
  <c r="M88" i="18"/>
  <c r="N88" i="18" s="1"/>
  <c r="R88" i="18" s="1"/>
  <c r="M134" i="18"/>
  <c r="N134" i="18" s="1"/>
  <c r="R134" i="18" s="1"/>
  <c r="M109" i="18"/>
  <c r="N109" i="18" s="1"/>
  <c r="R109" i="18" s="1"/>
  <c r="M23" i="18"/>
  <c r="N23" i="18" s="1"/>
  <c r="R23" i="18" s="1"/>
  <c r="M133" i="18"/>
  <c r="N133" i="18" s="1"/>
  <c r="R133" i="18" s="1"/>
  <c r="M127" i="18"/>
  <c r="N127" i="18" s="1"/>
  <c r="R127" i="18" s="1"/>
  <c r="M186" i="18"/>
  <c r="N186" i="18" s="1"/>
  <c r="R186" i="18" s="1"/>
  <c r="M82" i="18"/>
  <c r="N82" i="18" s="1"/>
  <c r="R82" i="18" s="1"/>
  <c r="M172" i="18"/>
  <c r="N172" i="18" s="1"/>
  <c r="R172" i="18" s="1"/>
  <c r="M46" i="18"/>
  <c r="N46" i="18" s="1"/>
  <c r="R46" i="18" s="1"/>
  <c r="M83" i="18"/>
  <c r="N83" i="18" s="1"/>
  <c r="R83" i="18" s="1"/>
  <c r="M135" i="18"/>
  <c r="N135" i="18" s="1"/>
  <c r="R135" i="18" s="1"/>
  <c r="M74" i="18"/>
  <c r="N74" i="18" s="1"/>
  <c r="R74" i="18" s="1"/>
  <c r="M149" i="18"/>
  <c r="N149" i="18" s="1"/>
  <c r="R149" i="18" s="1"/>
  <c r="M146" i="18"/>
  <c r="N146" i="18" s="1"/>
  <c r="R146" i="18" s="1"/>
  <c r="M44" i="18"/>
  <c r="N44" i="18" s="1"/>
  <c r="R44" i="18" s="1"/>
  <c r="M209" i="18"/>
  <c r="N209" i="18" s="1"/>
  <c r="R209" i="18" s="1"/>
  <c r="M156" i="18"/>
  <c r="N156" i="18" s="1"/>
  <c r="R156" i="18" s="1"/>
  <c r="M132" i="18"/>
  <c r="N132" i="18" s="1"/>
  <c r="R132" i="18" s="1"/>
  <c r="M71" i="18"/>
  <c r="N71" i="18" s="1"/>
  <c r="R71" i="18" s="1"/>
  <c r="M100" i="18"/>
  <c r="N100" i="18" s="1"/>
  <c r="R100" i="18" s="1"/>
  <c r="M68" i="18"/>
  <c r="N68" i="18" s="1"/>
  <c r="R68" i="18" s="1"/>
  <c r="M89" i="18"/>
  <c r="N89" i="18" s="1"/>
  <c r="R89" i="18" s="1"/>
  <c r="M120" i="18"/>
  <c r="N120" i="18" s="1"/>
  <c r="R120" i="18" s="1"/>
  <c r="M33" i="18"/>
  <c r="N33" i="18" s="1"/>
  <c r="R33" i="18" s="1"/>
  <c r="M197" i="18"/>
  <c r="N197" i="18" s="1"/>
  <c r="R197" i="18" s="1"/>
  <c r="M66" i="18"/>
  <c r="N66" i="18" s="1"/>
  <c r="R66" i="18" s="1"/>
  <c r="M144" i="18"/>
  <c r="N144" i="18" s="1"/>
  <c r="R144" i="18" s="1"/>
  <c r="M45" i="18"/>
  <c r="N45" i="18" s="1"/>
  <c r="R45" i="18" s="1"/>
  <c r="M183" i="18"/>
  <c r="N183" i="18" s="1"/>
  <c r="R183" i="18" s="1"/>
  <c r="M36" i="18"/>
  <c r="N36" i="18" s="1"/>
  <c r="R36" i="18" s="1"/>
  <c r="M200" i="18"/>
  <c r="N200" i="18" s="1"/>
  <c r="R200" i="18" s="1"/>
  <c r="M99" i="18"/>
  <c r="N99" i="18" s="1"/>
  <c r="R99" i="18" s="1"/>
  <c r="M151" i="18"/>
  <c r="N151" i="18" s="1"/>
  <c r="R151" i="18" s="1"/>
  <c r="M180" i="18"/>
  <c r="N180" i="18" s="1"/>
  <c r="R180" i="18" s="1"/>
  <c r="M129" i="18"/>
  <c r="N129" i="18" s="1"/>
  <c r="R129" i="18" s="1"/>
  <c r="M161" i="18"/>
  <c r="N161" i="18" s="1"/>
  <c r="R161" i="18" s="1"/>
  <c r="M43" i="18"/>
  <c r="N43" i="18" s="1"/>
  <c r="R43" i="18" s="1"/>
  <c r="M57" i="18"/>
  <c r="N57" i="18" s="1"/>
  <c r="R57" i="18" s="1"/>
  <c r="M94" i="18"/>
  <c r="N94" i="18" s="1"/>
  <c r="R94" i="18" s="1"/>
  <c r="M35" i="18"/>
  <c r="N35" i="18" s="1"/>
  <c r="R35" i="18" s="1"/>
  <c r="M30" i="18"/>
  <c r="N30" i="18" s="1"/>
  <c r="R30" i="18" s="1"/>
  <c r="M184" i="18"/>
  <c r="N184" i="18" s="1"/>
  <c r="R184" i="18" s="1"/>
  <c r="M32" i="18"/>
  <c r="N32" i="18" s="1"/>
  <c r="R32" i="18" s="1"/>
  <c r="M187" i="18"/>
  <c r="N187" i="18" s="1"/>
  <c r="R187" i="18" s="1"/>
  <c r="M110" i="18"/>
  <c r="N110" i="18" s="1"/>
  <c r="R110" i="18" s="1"/>
  <c r="M97" i="18"/>
  <c r="N97" i="18" s="1"/>
  <c r="R97" i="18" s="1"/>
  <c r="M154" i="18"/>
  <c r="N154" i="18" s="1"/>
  <c r="R154" i="18" s="1"/>
  <c r="M178" i="18"/>
  <c r="N178" i="18" s="1"/>
  <c r="R178" i="18" s="1"/>
  <c r="M108" i="18"/>
  <c r="N108" i="18" s="1"/>
  <c r="R108" i="18" s="1"/>
  <c r="M155" i="18"/>
  <c r="N155" i="18" s="1"/>
  <c r="R155" i="18" s="1"/>
  <c r="M63" i="18"/>
  <c r="N63" i="18" s="1"/>
  <c r="R63" i="18" s="1"/>
  <c r="M50" i="18"/>
  <c r="N50" i="18" s="1"/>
  <c r="R50" i="18" s="1"/>
  <c r="M190" i="18"/>
  <c r="N190" i="18" s="1"/>
  <c r="R190" i="18" s="1"/>
  <c r="M101" i="18"/>
  <c r="N101" i="18" s="1"/>
  <c r="R101" i="18" s="1"/>
  <c r="M136" i="18"/>
  <c r="N136" i="18" s="1"/>
  <c r="R136" i="18" s="1"/>
  <c r="M106" i="18"/>
  <c r="N106" i="18" s="1"/>
  <c r="R106" i="18" s="1"/>
  <c r="M167" i="18"/>
  <c r="N167" i="18" s="1"/>
  <c r="R167" i="18" s="1"/>
  <c r="M142" i="18"/>
  <c r="N142" i="18" s="1"/>
  <c r="R142" i="18" s="1"/>
  <c r="M208" i="18"/>
  <c r="N208" i="18" s="1"/>
  <c r="R208" i="18" s="1"/>
  <c r="M48" i="18"/>
  <c r="N48" i="18" s="1"/>
  <c r="R48" i="18" s="1"/>
  <c r="M69" i="18"/>
  <c r="N69" i="18" s="1"/>
  <c r="R69" i="18" s="1"/>
  <c r="M28" i="18"/>
  <c r="N28" i="18" s="1"/>
  <c r="R28" i="18" s="1"/>
  <c r="M65" i="18"/>
  <c r="N65" i="18" s="1"/>
  <c r="R65" i="18" s="1"/>
  <c r="M164" i="18"/>
  <c r="N164" i="18" s="1"/>
  <c r="R164" i="18" s="1"/>
  <c r="M41" i="18"/>
  <c r="N41" i="18" s="1"/>
  <c r="R41" i="18" s="1"/>
  <c r="M169" i="18"/>
  <c r="N169" i="18" s="1"/>
  <c r="R169" i="18" s="1"/>
  <c r="M85" i="18"/>
  <c r="N85" i="18" s="1"/>
  <c r="R85" i="18" s="1"/>
  <c r="M138" i="18"/>
  <c r="N138" i="18" s="1"/>
  <c r="R138" i="18" s="1"/>
  <c r="M80" i="18"/>
  <c r="N80" i="18" s="1"/>
  <c r="R80" i="18" s="1"/>
  <c r="M122" i="18"/>
  <c r="N122" i="18" s="1"/>
  <c r="R122" i="18" s="1"/>
  <c r="M194" i="18"/>
  <c r="N194" i="18" s="1"/>
  <c r="R194" i="18" s="1"/>
  <c r="M42" i="18"/>
  <c r="N42" i="18" s="1"/>
  <c r="R42" i="18" s="1"/>
  <c r="M147" i="18"/>
  <c r="N147" i="18" s="1"/>
  <c r="R147" i="18" s="1"/>
  <c r="M79" i="18"/>
  <c r="N79" i="18" s="1"/>
  <c r="R79" i="18" s="1"/>
  <c r="M192" i="18"/>
  <c r="N192" i="18" s="1"/>
  <c r="R192" i="18" s="1"/>
  <c r="M54" i="18"/>
  <c r="N54" i="18" s="1"/>
  <c r="R54" i="18" s="1"/>
  <c r="M137" i="18"/>
  <c r="N137" i="18" s="1"/>
  <c r="R137" i="18" s="1"/>
  <c r="M121" i="18"/>
  <c r="N121" i="18" s="1"/>
  <c r="R121" i="18" s="1"/>
  <c r="M40" i="18"/>
  <c r="N40" i="18" s="1"/>
  <c r="R40" i="18" s="1"/>
  <c r="M177" i="18"/>
  <c r="N177" i="18" s="1"/>
  <c r="R177" i="18" s="1"/>
  <c r="M115" i="18"/>
  <c r="N115" i="18" s="1"/>
  <c r="R115" i="18" s="1"/>
  <c r="M34" i="18"/>
  <c r="N34" i="18" s="1"/>
  <c r="R34" i="18" s="1"/>
  <c r="M131" i="18"/>
  <c r="N131" i="18" s="1"/>
  <c r="R131" i="18" s="1"/>
  <c r="M148" i="18"/>
  <c r="N148" i="18" s="1"/>
  <c r="R148" i="18" s="1"/>
  <c r="M140" i="18"/>
  <c r="N140" i="18" s="1"/>
  <c r="R140" i="18" s="1"/>
  <c r="M98" i="18"/>
  <c r="N98" i="18" s="1"/>
  <c r="R98" i="18" s="1"/>
  <c r="M207" i="18"/>
  <c r="N207" i="18" s="1"/>
  <c r="R207" i="18" s="1"/>
  <c r="M150" i="18"/>
  <c r="N150" i="18" s="1"/>
  <c r="R150" i="18" s="1"/>
  <c r="M105" i="18"/>
  <c r="N105" i="18" s="1"/>
  <c r="R105" i="18" s="1"/>
  <c r="M166" i="18"/>
  <c r="N166" i="18" s="1"/>
  <c r="R166" i="18" s="1"/>
  <c r="M118" i="18"/>
  <c r="N118" i="18" s="1"/>
  <c r="R118" i="18" s="1"/>
  <c r="M141" i="18"/>
  <c r="N141" i="18" s="1"/>
  <c r="R141" i="18" s="1"/>
  <c r="M205" i="18"/>
  <c r="N205" i="18" s="1"/>
  <c r="R205" i="18" s="1"/>
  <c r="M59" i="18"/>
  <c r="N59" i="18" s="1"/>
  <c r="R59" i="18" s="1"/>
  <c r="M102" i="18"/>
  <c r="N102" i="18" s="1"/>
  <c r="R102" i="18" s="1"/>
  <c r="M93" i="18"/>
  <c r="N93" i="18" s="1"/>
  <c r="R93" i="18" s="1"/>
  <c r="M47" i="18"/>
  <c r="N47" i="18" s="1"/>
  <c r="R47" i="18" s="1"/>
  <c r="M117" i="18"/>
  <c r="N117" i="18" s="1"/>
  <c r="R117" i="18" s="1"/>
  <c r="M165" i="18"/>
  <c r="N165" i="18" s="1"/>
  <c r="R165" i="18" s="1"/>
  <c r="M53" i="18"/>
  <c r="N53" i="18" s="1"/>
  <c r="R53" i="18" s="1"/>
  <c r="M62" i="18"/>
  <c r="N62" i="18" s="1"/>
  <c r="R62" i="18" s="1"/>
  <c r="M176" i="18"/>
  <c r="N176" i="18" s="1"/>
  <c r="R176" i="18" s="1"/>
  <c r="M70" i="18"/>
  <c r="N70" i="18" s="1"/>
  <c r="R70" i="18" s="1"/>
  <c r="M72" i="18"/>
  <c r="N72" i="18" s="1"/>
  <c r="R72" i="18" s="1"/>
  <c r="M202" i="18"/>
  <c r="N202" i="18" s="1"/>
  <c r="R202" i="18" s="1"/>
  <c r="M191" i="18"/>
  <c r="N191" i="18" s="1"/>
  <c r="R191" i="18" s="1"/>
  <c r="M64" i="18"/>
  <c r="N64" i="18" s="1"/>
  <c r="R64" i="18" s="1"/>
  <c r="M212" i="18" l="1"/>
  <c r="N20" i="18"/>
  <c r="M13" i="18"/>
  <c r="N56" i="18"/>
  <c r="R56" i="18" l="1"/>
  <c r="R13" i="18" s="1"/>
  <c r="N13" i="18"/>
  <c r="N14" i="18"/>
  <c r="R20" i="18"/>
  <c r="R14" i="18" l="1"/>
  <c r="R212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<sst xmlns="http://schemas.openxmlformats.org/spreadsheetml/2006/main" count="421" uniqueCount="105">
  <si>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</si>
  <si>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</si>
  <si>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</si>
  <si>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</si>
  <si>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</si>
  <si>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</si>
  <si>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</si>
  <si>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</si>
  <si>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</si>
  <si>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</si>
  <si>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</si>
  <si>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</si>
  <si>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</si>
  <si>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</si>
  <si>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</si>
  <si>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</si>
  <si>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</si>
  <si>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</si>
  <si>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</si>
  <si>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</si>
  <si>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</si>
  <si>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</si>
  <si>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</si>
  <si>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</si>
  <si>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</si>
  <si>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</si>
  <si>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</si>
  <si>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</si>
  <si>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</si>
  <si>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</si>
  <si>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</si>
  <si>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</si>
  <si>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</si>
  <si>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</si>
  <si>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</si>
  <si>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</si>
  <si>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</si>
  <si>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</si>
  <si>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</si>
  <si>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</si>
  <si>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</si>
  <si>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</si>
  <si>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</si>
  <si>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</si>
  <si>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</si>
  <si>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</si>
  <si>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</si>
  <si>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</si>
  <si>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</si>
  <si>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</si>
  <si>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</si>
  <si>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</si>
  <si>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</si>
  <si>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</si>
  <si>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</si>
  <si>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</si>
  <si>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</si>
  <si>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</si>
  <si>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</si>
  <si>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</si>
  <si>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</si>
  <si>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</si>
  <si>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</si>
  <si>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</si>
  <si>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</si>
  <si>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</si>
  <si>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</si>
  <si>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</si>
  <si>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</si>
  <si>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</si>
  <si>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</si>
  <si>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</si>
  <si>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</si>
  <si>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</si>
  <si>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</si>
  <si>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</si>
  <si>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</si>
  <si>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</si>
  <si>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</si>
  <si>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</si>
  <si>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</si>
  <si>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</si>
  <si>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</si>
  <si>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</si>
  <si>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</si>
  <si>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</si>
  <si>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</si>
  <si>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</si>
  <si>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</si>
  <si>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</si>
  <si>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</si>
  <si>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</si>
  <si>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</si>
  <si>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</si>
  <si>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</si>
  <si>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</si>
  <si>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</si>
  <si>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Total NITS Surcharge / Refun</t>
  </si>
  <si>
    <t>AEPTCo Formula Rate -- FERC Docket ER18-195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</si>
  <si>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</si>
  <si>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</si>
  <si>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</si>
  <si>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</si>
  <si>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2019 Tax True Up</t>
  </si>
  <si>
    <t>2017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</si>
</sst>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09995949073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771.63" maxValue="771.63"/>
    </cacheField>
    <cacheField name="Actual True-Up Rate" numFmtId="164">
      <sharedItems containsSemiMixedTypes="0" containsString="0" containsNumber="1" minValue="846.24" maxValue="846.24"/>
    </cacheField>
    <cacheField name="True-Up Charge" numFmtId="164">
      <sharedItems containsSemiMixedTypes="0" containsString="0" containsNumber="1" minValue="846.24" maxValue="3277487.52"/>
    </cacheField>
    <cacheField name="Invoiced*** Charge (proj.)" numFmtId="164">
      <sharedItems containsSemiMixedTypes="0" containsString="0" containsNumber="1" minValue="771.63" maxValue="2988522.9899999998"/>
    </cacheField>
    <cacheField name="True-Up w/o Interest" numFmtId="164">
      <sharedItems containsSemiMixedTypes="0" containsString="0" containsNumber="1" minValue="74.610000000000014" maxValue="288964.53000000026"/>
    </cacheField>
    <cacheField name="Interest" numFmtId="164">
      <sharedItems containsSemiMixedTypes="0" containsString="0" containsNumber="1" minValue="2.5125457446598425" maxValue="9731.089669067569"/>
    </cacheField>
    <cacheField name="2020 True Up Including Interest" numFmtId="164">
      <sharedItems containsSemiMixedTypes="0" containsString="0" containsNumber="1" minValue="77.12254574465986" maxValue="298695.61966906785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77.12254574465986" maxValue="298695.619669067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771.63"/>
    <n v="846.24"/>
    <n v="2183299.2000000002"/>
    <n v="1990805.4"/>
    <n v="192493.80000000028"/>
    <n v="6482.3680212223935"/>
    <n v="198976.16802122266"/>
    <n v="0"/>
    <n v="0"/>
    <n v="0"/>
    <n v="198976.16802122266"/>
  </r>
  <r>
    <x v="1"/>
    <d v="2020-03-04T00:00:00"/>
    <d v="2020-03-24T00:00:00"/>
    <x v="0"/>
    <n v="9"/>
    <n v="2548"/>
    <n v="771.63"/>
    <n v="846.24"/>
    <n v="2156219.52"/>
    <n v="1966113.24"/>
    <n v="190106.28000000003"/>
    <n v="6401.9665573932789"/>
    <n v="196508.24655739332"/>
    <n v="0"/>
    <n v="0"/>
    <n v="0"/>
    <n v="196508.24655739332"/>
  </r>
  <r>
    <x v="2"/>
    <d v="2020-04-03T00:00:00"/>
    <d v="2020-04-24T00:00:00"/>
    <x v="0"/>
    <n v="9"/>
    <n v="2505"/>
    <n v="771.63"/>
    <n v="846.24"/>
    <n v="2119831.2000000002"/>
    <n v="1932933.15"/>
    <n v="186898.05000000028"/>
    <n v="6293.9270903729057"/>
    <n v="193191.9770903732"/>
    <n v="0"/>
    <n v="0"/>
    <n v="0"/>
    <n v="193191.9770903732"/>
  </r>
  <r>
    <x v="3"/>
    <d v="2020-05-05T00:00:00"/>
    <d v="2020-05-25T00:00:00"/>
    <x v="0"/>
    <n v="9"/>
    <n v="2636"/>
    <n v="771.63"/>
    <n v="846.24"/>
    <n v="2230688.64"/>
    <n v="2034016.68"/>
    <n v="196671.9600000002"/>
    <n v="6623.0705829233448"/>
    <n v="203295.03058292353"/>
    <n v="0"/>
    <n v="0"/>
    <n v="0"/>
    <n v="203295.03058292353"/>
  </r>
  <r>
    <x v="4"/>
    <d v="2020-06-03T00:00:00"/>
    <d v="2020-06-24T00:00:00"/>
    <x v="0"/>
    <n v="9"/>
    <n v="2911"/>
    <n v="771.63"/>
    <n v="846.24"/>
    <n v="2463404.64"/>
    <n v="2246214.9300000002"/>
    <n v="217189.70999999996"/>
    <n v="7314.0206627048019"/>
    <n v="224503.73066270477"/>
    <n v="0"/>
    <n v="0"/>
    <n v="0"/>
    <n v="224503.73066270477"/>
  </r>
  <r>
    <x v="5"/>
    <d v="2020-07-03T00:00:00"/>
    <d v="2020-07-24T00:00:00"/>
    <x v="0"/>
    <n v="9"/>
    <n v="3504"/>
    <n v="771.63"/>
    <n v="846.24"/>
    <n v="2965224.96"/>
    <n v="2703791.52"/>
    <n v="261433.43999999994"/>
    <n v="8803.9602892880866"/>
    <n v="270237.40028928802"/>
    <n v="0"/>
    <n v="0"/>
    <n v="0"/>
    <n v="270237.40028928802"/>
  </r>
  <r>
    <x v="6"/>
    <d v="2020-08-05T00:00:00"/>
    <d v="2020-08-24T00:00:00"/>
    <x v="0"/>
    <n v="9"/>
    <n v="3724"/>
    <n v="771.63"/>
    <n v="846.24"/>
    <n v="3151397.7600000002"/>
    <n v="2873550.12"/>
    <n v="277847.64000000013"/>
    <n v="9356.7203531132527"/>
    <n v="287204.36035311338"/>
    <n v="0"/>
    <n v="0"/>
    <n v="0"/>
    <n v="287204.36035311338"/>
  </r>
  <r>
    <x v="7"/>
    <d v="2020-09-03T00:00:00"/>
    <d v="2020-09-24T00:00:00"/>
    <x v="0"/>
    <n v="9"/>
    <n v="3873"/>
    <n v="771.63"/>
    <n v="846.24"/>
    <n v="3277487.52"/>
    <n v="2988522.9899999998"/>
    <n v="288964.53000000026"/>
    <n v="9731.089669067569"/>
    <n v="298695.61966906785"/>
    <n v="0"/>
    <n v="0"/>
    <n v="0"/>
    <n v="298695.61966906785"/>
  </r>
  <r>
    <x v="8"/>
    <d v="2020-10-05T00:00:00"/>
    <d v="2020-10-26T00:00:00"/>
    <x v="0"/>
    <n v="9"/>
    <n v="3349"/>
    <n v="771.63"/>
    <n v="846.24"/>
    <n v="2834057.7600000002"/>
    <n v="2584188.87"/>
    <n v="249868.89000000013"/>
    <n v="8414.5156988658127"/>
    <n v="258283.40569886594"/>
    <n v="0"/>
    <n v="0"/>
    <n v="0"/>
    <n v="258283.40569886594"/>
  </r>
  <r>
    <x v="9"/>
    <d v="2020-11-04T00:00:00"/>
    <d v="2020-11-24T00:00:00"/>
    <x v="0"/>
    <n v="9"/>
    <n v="2789"/>
    <n v="771.63"/>
    <n v="846.24"/>
    <n v="2360163.36"/>
    <n v="2152076.0699999998"/>
    <n v="208087.29000000004"/>
    <n v="7007.490081856301"/>
    <n v="215094.78008185633"/>
    <n v="0"/>
    <n v="0"/>
    <n v="0"/>
    <n v="215094.78008185633"/>
  </r>
  <r>
    <x v="10"/>
    <d v="2020-12-03T00:00:00"/>
    <d v="2020-12-24T00:00:00"/>
    <x v="0"/>
    <n v="9"/>
    <n v="2382"/>
    <n v="771.63"/>
    <n v="846.24"/>
    <n v="2015743.68"/>
    <n v="1838022.66"/>
    <n v="177721.02000000002"/>
    <n v="5984.8839637797446"/>
    <n v="183705.90396377977"/>
    <n v="0"/>
    <n v="0"/>
    <n v="0"/>
    <n v="183705.90396377977"/>
  </r>
  <r>
    <x v="11"/>
    <d v="2021-01-06T00:00:00"/>
    <d v="2021-01-25T00:00:00"/>
    <x v="0"/>
    <n v="9"/>
    <n v="2513"/>
    <n v="771.63"/>
    <n v="846.24"/>
    <n v="2126601.12"/>
    <n v="1939106.19"/>
    <n v="187494.93000000017"/>
    <n v="6314.0274563301837"/>
    <n v="193808.95745633036"/>
    <n v="0"/>
    <n v="0"/>
    <n v="0"/>
    <n v="193808.95745633036"/>
  </r>
  <r>
    <x v="0"/>
    <d v="2020-02-05T00:00:00"/>
    <d v="2020-02-24T00:00:00"/>
    <x v="1"/>
    <n v="9"/>
    <n v="2664"/>
    <n v="771.63"/>
    <n v="846.24"/>
    <n v="2254383.36"/>
    <n v="2055622.32"/>
    <n v="198761.0399999998"/>
    <n v="6693.4218637738204"/>
    <n v="205454.46186377361"/>
    <n v="0"/>
    <n v="0"/>
    <n v="0"/>
    <n v="205454.46186377361"/>
  </r>
  <r>
    <x v="1"/>
    <d v="2020-03-04T00:00:00"/>
    <d v="2020-03-24T00:00:00"/>
    <x v="1"/>
    <n v="9"/>
    <n v="2798"/>
    <n v="771.63"/>
    <n v="846.24"/>
    <n v="2367779.52"/>
    <n v="2159020.7399999998"/>
    <n v="208758.78000000026"/>
    <n v="7030.1029935582383"/>
    <n v="215788.88299355851"/>
    <n v="0"/>
    <n v="0"/>
    <n v="0"/>
    <n v="215788.88299355851"/>
  </r>
  <r>
    <x v="2"/>
    <d v="2020-04-03T00:00:00"/>
    <d v="2020-04-24T00:00:00"/>
    <x v="1"/>
    <n v="9"/>
    <n v="2422"/>
    <n v="771.63"/>
    <n v="846.24"/>
    <n v="2049593.28"/>
    <n v="1868887.86"/>
    <n v="180705.41999999993"/>
    <n v="6085.3857935661381"/>
    <n v="186790.80579356608"/>
    <n v="0"/>
    <n v="0"/>
    <n v="0"/>
    <n v="186790.80579356608"/>
  </r>
  <r>
    <x v="3"/>
    <d v="2020-05-05T00:00:00"/>
    <d v="2020-05-25T00:00:00"/>
    <x v="1"/>
    <n v="9"/>
    <n v="2569"/>
    <n v="771.63"/>
    <n v="846.24"/>
    <n v="2173990.56"/>
    <n v="1982317.47"/>
    <n v="191673.09000000008"/>
    <n v="6454.7300180311358"/>
    <n v="198127.82001803123"/>
    <n v="0"/>
    <n v="0"/>
    <n v="0"/>
    <n v="198127.82001803123"/>
  </r>
  <r>
    <x v="4"/>
    <d v="2020-06-03T00:00:00"/>
    <d v="2020-06-24T00:00:00"/>
    <x v="1"/>
    <n v="9"/>
    <n v="2598"/>
    <n v="771.63"/>
    <n v="846.24"/>
    <n v="2198531.52"/>
    <n v="2004694.74"/>
    <n v="193836.78000000003"/>
    <n v="6527.5938446262708"/>
    <n v="200364.3738446263"/>
    <n v="0"/>
    <n v="0"/>
    <n v="0"/>
    <n v="200364.3738446263"/>
  </r>
  <r>
    <x v="5"/>
    <d v="2020-07-03T00:00:00"/>
    <d v="2020-07-24T00:00:00"/>
    <x v="1"/>
    <n v="9"/>
    <n v="3167"/>
    <n v="771.63"/>
    <n v="846.24"/>
    <n v="2680042.08"/>
    <n v="2443752.21"/>
    <n v="236289.87000000011"/>
    <n v="7957.2323733377216"/>
    <n v="244247.10237333784"/>
    <n v="0"/>
    <n v="0"/>
    <n v="0"/>
    <n v="244247.10237333784"/>
  </r>
  <r>
    <x v="6"/>
    <d v="2020-08-05T00:00:00"/>
    <d v="2020-08-24T00:00:00"/>
    <x v="1"/>
    <n v="9"/>
    <n v="3376"/>
    <n v="771.63"/>
    <n v="846.24"/>
    <n v="2856906.24"/>
    <n v="2605022.88"/>
    <n v="251883.36000000034"/>
    <n v="8482.3544339716282"/>
    <n v="260365.71443397197"/>
    <n v="0"/>
    <n v="0"/>
    <n v="0"/>
    <n v="260365.71443397197"/>
  </r>
  <r>
    <x v="7"/>
    <d v="2020-09-03T00:00:00"/>
    <d v="2020-09-24T00:00:00"/>
    <x v="1"/>
    <n v="9"/>
    <n v="3459"/>
    <n v="771.63"/>
    <n v="846.24"/>
    <n v="2927144.16"/>
    <n v="2669068.17"/>
    <n v="258075.99000000022"/>
    <n v="8690.8957307783949"/>
    <n v="266766.88573077862"/>
    <n v="0"/>
    <n v="0"/>
    <n v="0"/>
    <n v="266766.88573077862"/>
  </r>
  <r>
    <x v="8"/>
    <d v="2020-10-05T00:00:00"/>
    <d v="2020-10-26T00:00:00"/>
    <x v="1"/>
    <n v="9"/>
    <n v="3173"/>
    <n v="771.63"/>
    <n v="846.24"/>
    <n v="2685119.52"/>
    <n v="2448381.9899999998"/>
    <n v="236737.53000000026"/>
    <n v="7972.3076478056801"/>
    <n v="244709.83764780595"/>
    <n v="0"/>
    <n v="0"/>
    <n v="0"/>
    <n v="244709.83764780595"/>
  </r>
  <r>
    <x v="9"/>
    <d v="2020-11-04T00:00:00"/>
    <d v="2020-11-24T00:00:00"/>
    <x v="1"/>
    <n v="9"/>
    <n v="2561"/>
    <n v="771.63"/>
    <n v="846.24"/>
    <n v="2167220.64"/>
    <n v="1976144.43"/>
    <n v="191076.2100000002"/>
    <n v="6434.629652073857"/>
    <n v="197510.83965207406"/>
    <n v="0"/>
    <n v="0"/>
    <n v="0"/>
    <n v="197510.83965207406"/>
  </r>
  <r>
    <x v="10"/>
    <d v="2020-12-03T00:00:00"/>
    <d v="2020-12-24T00:00:00"/>
    <x v="1"/>
    <n v="9"/>
    <n v="2357"/>
    <n v="771.63"/>
    <n v="846.24"/>
    <n v="1994587.68"/>
    <n v="1818731.91"/>
    <n v="175855.77000000002"/>
    <n v="5922.0703201632487"/>
    <n v="181777.84032016326"/>
    <n v="0"/>
    <n v="0"/>
    <n v="0"/>
    <n v="181777.84032016326"/>
  </r>
  <r>
    <x v="11"/>
    <d v="2021-01-06T00:00:00"/>
    <d v="2021-01-25T00:00:00"/>
    <x v="1"/>
    <n v="9"/>
    <n v="2731"/>
    <n v="771.63"/>
    <n v="846.24"/>
    <n v="2311081.44"/>
    <n v="2107321.5299999998"/>
    <n v="203759.91000000015"/>
    <n v="6861.7624286660293"/>
    <n v="210621.67242866618"/>
    <n v="0"/>
    <n v="0"/>
    <n v="0"/>
    <n v="210621.67242866618"/>
  </r>
  <r>
    <x v="0"/>
    <d v="2020-02-05T00:00:00"/>
    <d v="2020-02-24T00:00:00"/>
    <x v="2"/>
    <n v="9"/>
    <n v="145"/>
    <n v="771.63"/>
    <n v="846.24"/>
    <n v="122704.8"/>
    <n v="111886.35"/>
    <n v="10818.449999999997"/>
    <n v="364.31913297567718"/>
    <n v="11182.769132975674"/>
    <n v="0"/>
    <n v="0"/>
    <n v="0"/>
    <n v="11182.769132975674"/>
  </r>
  <r>
    <x v="1"/>
    <d v="2020-03-04T00:00:00"/>
    <d v="2020-03-24T00:00:00"/>
    <x v="2"/>
    <n v="9"/>
    <n v="146"/>
    <n v="771.63"/>
    <n v="846.24"/>
    <n v="123551.04000000001"/>
    <n v="112657.98"/>
    <n v="10893.060000000012"/>
    <n v="366.83167872033698"/>
    <n v="11259.891678720349"/>
    <n v="0"/>
    <n v="0"/>
    <n v="0"/>
    <n v="11259.891678720349"/>
  </r>
  <r>
    <x v="2"/>
    <d v="2020-04-03T00:00:00"/>
    <d v="2020-04-24T00:00:00"/>
    <x v="2"/>
    <n v="9"/>
    <n v="97"/>
    <n v="771.63"/>
    <n v="846.24"/>
    <n v="82085.279999999999"/>
    <n v="74848.11"/>
    <n v="7237.1699999999983"/>
    <n v="243.71693723200471"/>
    <n v="7480.8869372320032"/>
    <n v="0"/>
    <n v="0"/>
    <n v="0"/>
    <n v="7480.8869372320032"/>
  </r>
  <r>
    <x v="3"/>
    <d v="2020-05-05T00:00:00"/>
    <d v="2020-05-25T00:00:00"/>
    <x v="2"/>
    <n v="9"/>
    <n v="94"/>
    <n v="771.63"/>
    <n v="846.24"/>
    <n v="79546.559999999998"/>
    <n v="72533.22"/>
    <n v="7013.3399999999965"/>
    <n v="236.17929999802521"/>
    <n v="7249.5192999980218"/>
    <n v="0"/>
    <n v="0"/>
    <n v="0"/>
    <n v="7249.5192999980218"/>
  </r>
  <r>
    <x v="4"/>
    <d v="2020-06-03T00:00:00"/>
    <d v="2020-06-24T00:00:00"/>
    <x v="2"/>
    <n v="9"/>
    <n v="106"/>
    <n v="771.63"/>
    <n v="846.24"/>
    <n v="89701.440000000002"/>
    <n v="81792.78"/>
    <n v="7908.6600000000035"/>
    <n v="266.32984893394331"/>
    <n v="8174.9898489339466"/>
    <n v="0"/>
    <n v="0"/>
    <n v="0"/>
    <n v="8174.9898489339466"/>
  </r>
  <r>
    <x v="5"/>
    <d v="2020-07-03T00:00:00"/>
    <d v="2020-07-24T00:00:00"/>
    <x v="2"/>
    <n v="9"/>
    <n v="132"/>
    <n v="771.63"/>
    <n v="846.24"/>
    <n v="111703.68000000001"/>
    <n v="101855.16"/>
    <n v="9848.5200000000041"/>
    <n v="331.65603829509922"/>
    <n v="10180.176038295103"/>
    <n v="0"/>
    <n v="0"/>
    <n v="0"/>
    <n v="10180.176038295103"/>
  </r>
  <r>
    <x v="6"/>
    <d v="2020-08-05T00:00:00"/>
    <d v="2020-08-24T00:00:00"/>
    <x v="2"/>
    <n v="9"/>
    <n v="139"/>
    <n v="771.63"/>
    <n v="846.24"/>
    <n v="117627.36"/>
    <n v="107256.56999999999"/>
    <n v="10370.790000000008"/>
    <n v="349.24385850771807"/>
    <n v="10720.033858507726"/>
    <n v="0"/>
    <n v="0"/>
    <n v="0"/>
    <n v="10720.033858507726"/>
  </r>
  <r>
    <x v="7"/>
    <d v="2020-09-03T00:00:00"/>
    <d v="2020-09-24T00:00:00"/>
    <x v="2"/>
    <n v="9"/>
    <n v="136"/>
    <n v="771.63"/>
    <n v="846.24"/>
    <n v="115088.64"/>
    <n v="104941.68"/>
    <n v="10146.960000000006"/>
    <n v="341.70622127373861"/>
    <n v="10488.666221273745"/>
    <n v="0"/>
    <n v="0"/>
    <n v="0"/>
    <n v="10488.666221273745"/>
  </r>
  <r>
    <x v="8"/>
    <d v="2020-10-05T00:00:00"/>
    <d v="2020-10-26T00:00:00"/>
    <x v="2"/>
    <n v="9"/>
    <n v="116"/>
    <n v="771.63"/>
    <n v="846.24"/>
    <n v="98163.839999999997"/>
    <n v="89509.08"/>
    <n v="8654.7599999999948"/>
    <n v="291.45530638054174"/>
    <n v="8946.2153063805363"/>
    <n v="0"/>
    <n v="0"/>
    <n v="0"/>
    <n v="8946.2153063805363"/>
  </r>
  <r>
    <x v="9"/>
    <d v="2020-11-04T00:00:00"/>
    <d v="2020-11-24T00:00:00"/>
    <x v="2"/>
    <n v="9"/>
    <n v="78"/>
    <n v="771.63"/>
    <n v="846.24"/>
    <n v="66006.720000000001"/>
    <n v="60187.14"/>
    <n v="5819.5800000000017"/>
    <n v="195.97856808346771"/>
    <n v="6015.5585680834693"/>
    <n v="0"/>
    <n v="0"/>
    <n v="0"/>
    <n v="6015.5585680834693"/>
  </r>
  <r>
    <x v="10"/>
    <d v="2020-12-03T00:00:00"/>
    <d v="2020-12-24T00:00:00"/>
    <x v="2"/>
    <n v="9"/>
    <n v="109"/>
    <n v="771.63"/>
    <n v="846.24"/>
    <n v="92240.16"/>
    <n v="84107.67"/>
    <n v="8132.4900000000052"/>
    <n v="273.86748616792278"/>
    <n v="8406.3574861679281"/>
    <n v="0"/>
    <n v="0"/>
    <n v="0"/>
    <n v="8406.3574861679281"/>
  </r>
  <r>
    <x v="11"/>
    <d v="2021-01-06T00:00:00"/>
    <d v="2021-01-25T00:00:00"/>
    <x v="2"/>
    <n v="9"/>
    <n v="143"/>
    <n v="771.63"/>
    <n v="846.24"/>
    <n v="121012.32"/>
    <n v="110343.09"/>
    <n v="10669.23000000001"/>
    <n v="359.29404148635746"/>
    <n v="11028.524041486367"/>
    <n v="0"/>
    <n v="0"/>
    <n v="0"/>
    <n v="11028.524041486367"/>
  </r>
  <r>
    <x v="0"/>
    <d v="2020-02-05T00:00:00"/>
    <d v="2020-02-24T00:00:00"/>
    <x v="3"/>
    <n v="9"/>
    <n v="753"/>
    <n v="771.63"/>
    <n v="846.24"/>
    <n v="637218.72"/>
    <n v="581037.39"/>
    <n v="56181.329999999958"/>
    <n v="1891.9469457288612"/>
    <n v="58073.276945728816"/>
    <n v="0"/>
    <n v="0"/>
    <n v="0"/>
    <n v="58073.276945728816"/>
  </r>
  <r>
    <x v="1"/>
    <d v="2020-03-04T00:00:00"/>
    <d v="2020-03-24T00:00:00"/>
    <x v="3"/>
    <n v="9"/>
    <n v="715"/>
    <n v="771.63"/>
    <n v="846.24"/>
    <n v="605061.6"/>
    <n v="551715.44999999995"/>
    <n v="53346.150000000023"/>
    <n v="1796.4702074317875"/>
    <n v="55142.620207431813"/>
    <n v="0"/>
    <n v="0"/>
    <n v="0"/>
    <n v="55142.620207431813"/>
  </r>
  <r>
    <x v="2"/>
    <d v="2020-04-03T00:00:00"/>
    <d v="2020-04-24T00:00:00"/>
    <x v="3"/>
    <n v="9"/>
    <n v="510"/>
    <n v="771.63"/>
    <n v="846.24"/>
    <n v="431582.4"/>
    <n v="393531.3"/>
    <n v="38051.100000000035"/>
    <n v="1281.3983297765196"/>
    <n v="39332.498329776558"/>
    <n v="0"/>
    <n v="0"/>
    <n v="0"/>
    <n v="39332.498329776558"/>
  </r>
  <r>
    <x v="3"/>
    <d v="2020-05-05T00:00:00"/>
    <d v="2020-05-25T00:00:00"/>
    <x v="3"/>
    <n v="9"/>
    <n v="615"/>
    <n v="771.63"/>
    <n v="846.24"/>
    <n v="520437.6"/>
    <n v="474552.45"/>
    <n v="45885.149999999965"/>
    <n v="1545.215632965803"/>
    <n v="47430.365632965768"/>
    <n v="0"/>
    <n v="0"/>
    <n v="0"/>
    <n v="47430.365632965768"/>
  </r>
  <r>
    <x v="4"/>
    <d v="2020-06-03T00:00:00"/>
    <d v="2020-06-24T00:00:00"/>
    <x v="3"/>
    <n v="9"/>
    <n v="551"/>
    <n v="771.63"/>
    <n v="846.24"/>
    <n v="466278.24"/>
    <n v="425168.13"/>
    <n v="41110.109999999986"/>
    <n v="1384.4127053075731"/>
    <n v="42494.522705307558"/>
    <n v="0"/>
    <n v="0"/>
    <n v="0"/>
    <n v="42494.522705307558"/>
  </r>
  <r>
    <x v="5"/>
    <d v="2020-07-03T00:00:00"/>
    <d v="2020-07-24T00:00:00"/>
    <x v="3"/>
    <n v="9"/>
    <n v="815"/>
    <n v="771.63"/>
    <n v="846.24"/>
    <n v="689685.6"/>
    <n v="628878.44999999995"/>
    <n v="60807.150000000023"/>
    <n v="2047.7247818977714"/>
    <n v="62854.874781897794"/>
    <n v="0"/>
    <n v="0"/>
    <n v="0"/>
    <n v="62854.874781897794"/>
  </r>
  <r>
    <x v="6"/>
    <d v="2020-08-05T00:00:00"/>
    <d v="2020-08-24T00:00:00"/>
    <x v="3"/>
    <n v="9"/>
    <n v="816"/>
    <n v="771.63"/>
    <n v="846.24"/>
    <n v="690531.83999999997"/>
    <n v="629650.07999999996"/>
    <n v="60881.760000000009"/>
    <n v="2050.2373276424314"/>
    <n v="62931.997327642443"/>
    <n v="0"/>
    <n v="0"/>
    <n v="0"/>
    <n v="62931.997327642443"/>
  </r>
  <r>
    <x v="7"/>
    <d v="2020-09-03T00:00:00"/>
    <d v="2020-09-24T00:00:00"/>
    <x v="3"/>
    <n v="9"/>
    <n v="889"/>
    <n v="771.63"/>
    <n v="846.24"/>
    <n v="752307.36"/>
    <n v="685979.07"/>
    <n v="66328.290000000037"/>
    <n v="2233.6531670026002"/>
    <n v="68561.943167002639"/>
    <n v="0"/>
    <n v="0"/>
    <n v="0"/>
    <n v="68561.943167002639"/>
  </r>
  <r>
    <x v="8"/>
    <d v="2020-10-05T00:00:00"/>
    <d v="2020-10-26T00:00:00"/>
    <x v="3"/>
    <n v="9"/>
    <n v="768"/>
    <n v="771.63"/>
    <n v="846.24"/>
    <n v="649912.32000000007"/>
    <n v="592611.83999999997"/>
    <n v="57300.480000000098"/>
    <n v="1929.6351318987588"/>
    <n v="59230.115131898856"/>
    <n v="0"/>
    <n v="0"/>
    <n v="0"/>
    <n v="59230.115131898856"/>
  </r>
  <r>
    <x v="9"/>
    <d v="2020-11-04T00:00:00"/>
    <d v="2020-11-24T00:00:00"/>
    <x v="3"/>
    <n v="9"/>
    <n v="633"/>
    <n v="771.63"/>
    <n v="846.24"/>
    <n v="535669.92000000004"/>
    <n v="488441.79"/>
    <n v="47228.130000000063"/>
    <n v="1590.4414563696803"/>
    <n v="48818.57145636974"/>
    <n v="0"/>
    <n v="0"/>
    <n v="0"/>
    <n v="48818.57145636974"/>
  </r>
  <r>
    <x v="10"/>
    <d v="2020-12-03T00:00:00"/>
    <d v="2020-12-24T00:00:00"/>
    <x v="3"/>
    <n v="9"/>
    <n v="639"/>
    <n v="771.63"/>
    <n v="846.24"/>
    <n v="540747.36"/>
    <n v="493071.57"/>
    <n v="47675.789999999979"/>
    <n v="1605.5167308376392"/>
    <n v="49281.306730837619"/>
    <n v="0"/>
    <n v="0"/>
    <n v="0"/>
    <n v="49281.306730837619"/>
  </r>
  <r>
    <x v="11"/>
    <d v="2021-01-06T00:00:00"/>
    <d v="2021-01-25T00:00:00"/>
    <x v="3"/>
    <n v="9"/>
    <n v="734"/>
    <n v="771.63"/>
    <n v="846.24"/>
    <n v="621140.16"/>
    <n v="566376.42000000004"/>
    <n v="54763.739999999991"/>
    <n v="1844.2085765803242"/>
    <n v="56607.948576580318"/>
    <n v="0"/>
    <n v="0"/>
    <n v="0"/>
    <n v="56607.948576580318"/>
  </r>
  <r>
    <x v="0"/>
    <d v="2020-02-05T00:00:00"/>
    <d v="2020-02-24T00:00:00"/>
    <x v="4"/>
    <n v="9"/>
    <n v="41"/>
    <n v="771.63"/>
    <n v="846.24"/>
    <n v="34695.840000000004"/>
    <n v="31636.829999999998"/>
    <n v="3059.0100000000057"/>
    <n v="103.01437553105355"/>
    <n v="3162.0243755310594"/>
    <n v="0"/>
    <n v="0"/>
    <n v="0"/>
    <n v="3162.0243755310594"/>
  </r>
  <r>
    <x v="1"/>
    <d v="2020-03-04T00:00:00"/>
    <d v="2020-03-24T00:00:00"/>
    <x v="4"/>
    <n v="9"/>
    <n v="34"/>
    <n v="771.63"/>
    <n v="846.24"/>
    <n v="28772.16"/>
    <n v="26235.42"/>
    <n v="2536.7400000000016"/>
    <n v="85.426555318434652"/>
    <n v="2622.1665553184362"/>
    <n v="0"/>
    <n v="0"/>
    <n v="0"/>
    <n v="2622.1665553184362"/>
  </r>
  <r>
    <x v="2"/>
    <d v="2020-04-03T00:00:00"/>
    <d v="2020-04-24T00:00:00"/>
    <x v="4"/>
    <n v="9"/>
    <n v="25"/>
    <n v="771.63"/>
    <n v="846.24"/>
    <n v="21156"/>
    <n v="19290.75"/>
    <n v="1865.25"/>
    <n v="62.813643616496059"/>
    <n v="1928.0636436164962"/>
    <n v="0"/>
    <n v="0"/>
    <n v="0"/>
    <n v="1928.0636436164962"/>
  </r>
  <r>
    <x v="3"/>
    <d v="2020-05-05T00:00:00"/>
    <d v="2020-05-25T00:00:00"/>
    <x v="4"/>
    <n v="9"/>
    <n v="31"/>
    <n v="771.63"/>
    <n v="846.24"/>
    <n v="26233.439999999999"/>
    <n v="23920.53"/>
    <n v="2312.91"/>
    <n v="77.888918084455113"/>
    <n v="2390.7989180844552"/>
    <n v="0"/>
    <n v="0"/>
    <n v="0"/>
    <n v="2390.7989180844552"/>
  </r>
  <r>
    <x v="4"/>
    <d v="2020-06-03T00:00:00"/>
    <d v="2020-06-24T00:00:00"/>
    <x v="4"/>
    <n v="9"/>
    <n v="28"/>
    <n v="771.63"/>
    <n v="846.24"/>
    <n v="23694.720000000001"/>
    <n v="21605.64"/>
    <n v="2089.0800000000017"/>
    <n v="70.35128085047559"/>
    <n v="2159.4312808504774"/>
    <n v="0"/>
    <n v="0"/>
    <n v="0"/>
    <n v="2159.4312808504774"/>
  </r>
  <r>
    <x v="5"/>
    <d v="2020-07-03T00:00:00"/>
    <d v="2020-07-24T00:00:00"/>
    <x v="4"/>
    <n v="9"/>
    <n v="46"/>
    <n v="771.63"/>
    <n v="846.24"/>
    <n v="38927.040000000001"/>
    <n v="35494.980000000003"/>
    <n v="3432.0599999999977"/>
    <n v="115.57710425435275"/>
    <n v="3547.6371042543506"/>
    <n v="0"/>
    <n v="0"/>
    <n v="0"/>
    <n v="3547.6371042543506"/>
  </r>
  <r>
    <x v="6"/>
    <d v="2020-08-05T00:00:00"/>
    <d v="2020-08-24T00:00:00"/>
    <x v="4"/>
    <n v="9"/>
    <n v="46"/>
    <n v="771.63"/>
    <n v="846.24"/>
    <n v="38927.040000000001"/>
    <n v="35494.980000000003"/>
    <n v="3432.0599999999977"/>
    <n v="115.57710425435275"/>
    <n v="3547.6371042543506"/>
    <n v="0"/>
    <n v="0"/>
    <n v="0"/>
    <n v="3547.6371042543506"/>
  </r>
  <r>
    <x v="7"/>
    <d v="2020-09-03T00:00:00"/>
    <d v="2020-09-24T00:00:00"/>
    <x v="4"/>
    <n v="9"/>
    <n v="43"/>
    <n v="771.63"/>
    <n v="846.24"/>
    <n v="36388.32"/>
    <n v="33180.089999999997"/>
    <n v="3208.2300000000032"/>
    <n v="108.03946702037322"/>
    <n v="3316.2694670203764"/>
    <n v="0"/>
    <n v="0"/>
    <n v="0"/>
    <n v="3316.2694670203764"/>
  </r>
  <r>
    <x v="8"/>
    <d v="2020-10-05T00:00:00"/>
    <d v="2020-10-26T00:00:00"/>
    <x v="4"/>
    <n v="9"/>
    <n v="41"/>
    <n v="771.63"/>
    <n v="846.24"/>
    <n v="34695.840000000004"/>
    <n v="31636.829999999998"/>
    <n v="3059.0100000000057"/>
    <n v="103.01437553105355"/>
    <n v="3162.0243755310594"/>
    <n v="0"/>
    <n v="0"/>
    <n v="0"/>
    <n v="3162.0243755310594"/>
  </r>
  <r>
    <x v="9"/>
    <d v="2020-11-04T00:00:00"/>
    <d v="2020-11-24T00:00:00"/>
    <x v="4"/>
    <n v="9"/>
    <n v="32"/>
    <n v="771.63"/>
    <n v="846.24"/>
    <n v="27079.68"/>
    <n v="24692.16"/>
    <n v="2387.5200000000004"/>
    <n v="80.401463829114959"/>
    <n v="2467.9214638291155"/>
    <n v="0"/>
    <n v="0"/>
    <n v="0"/>
    <n v="2467.9214638291155"/>
  </r>
  <r>
    <x v="10"/>
    <d v="2020-12-03T00:00:00"/>
    <d v="2020-12-24T00:00:00"/>
    <x v="4"/>
    <n v="9"/>
    <n v="30"/>
    <n v="771.63"/>
    <n v="846.24"/>
    <n v="25387.200000000001"/>
    <n v="23148.9"/>
    <n v="2238.2999999999993"/>
    <n v="75.376372339795282"/>
    <n v="2313.6763723397944"/>
    <n v="0"/>
    <n v="0"/>
    <n v="0"/>
    <n v="2313.6763723397944"/>
  </r>
  <r>
    <x v="11"/>
    <d v="2021-01-06T00:00:00"/>
    <d v="2021-01-25T00:00:00"/>
    <x v="4"/>
    <n v="9"/>
    <n v="39"/>
    <n v="771.63"/>
    <n v="846.24"/>
    <n v="33003.360000000001"/>
    <n v="30093.57"/>
    <n v="2909.7900000000009"/>
    <n v="97.989284041733853"/>
    <n v="3007.7792840417346"/>
    <n v="0"/>
    <n v="0"/>
    <n v="0"/>
    <n v="3007.7792840417346"/>
  </r>
  <r>
    <x v="0"/>
    <d v="2020-02-05T00:00:00"/>
    <d v="2020-02-24T00:00:00"/>
    <x v="5"/>
    <n v="9"/>
    <n v="40"/>
    <n v="771.63"/>
    <n v="846.24"/>
    <n v="33849.599999999999"/>
    <n v="30865.200000000001"/>
    <n v="2984.3999999999978"/>
    <n v="100.5018297863937"/>
    <n v="3084.9018297863913"/>
    <n v="0"/>
    <n v="0"/>
    <n v="0"/>
    <n v="3084.9018297863913"/>
  </r>
  <r>
    <x v="1"/>
    <d v="2020-03-04T00:00:00"/>
    <d v="2020-03-24T00:00:00"/>
    <x v="5"/>
    <n v="9"/>
    <n v="42"/>
    <n v="771.63"/>
    <n v="846.24"/>
    <n v="35542.080000000002"/>
    <n v="32408.46"/>
    <n v="3133.6200000000026"/>
    <n v="105.52692127571338"/>
    <n v="3239.1469212757161"/>
    <n v="0"/>
    <n v="0"/>
    <n v="0"/>
    <n v="3239.1469212757161"/>
  </r>
  <r>
    <x v="2"/>
    <d v="2020-04-03T00:00:00"/>
    <d v="2020-04-24T00:00:00"/>
    <x v="5"/>
    <n v="9"/>
    <n v="29"/>
    <n v="771.63"/>
    <n v="846.24"/>
    <n v="24540.959999999999"/>
    <n v="22377.27"/>
    <n v="2163.6899999999987"/>
    <n v="72.863826595135436"/>
    <n v="2236.5538265951341"/>
    <n v="0"/>
    <n v="0"/>
    <n v="0"/>
    <n v="2236.5538265951341"/>
  </r>
  <r>
    <x v="3"/>
    <d v="2020-05-05T00:00:00"/>
    <d v="2020-05-25T00:00:00"/>
    <x v="5"/>
    <n v="9"/>
    <n v="32"/>
    <n v="771.63"/>
    <n v="846.24"/>
    <n v="27079.68"/>
    <n v="24692.16"/>
    <n v="2387.5200000000004"/>
    <n v="80.401463829114959"/>
    <n v="2467.9214638291155"/>
    <n v="0"/>
    <n v="0"/>
    <n v="0"/>
    <n v="2467.9214638291155"/>
  </r>
  <r>
    <x v="4"/>
    <d v="2020-06-03T00:00:00"/>
    <d v="2020-06-24T00:00:00"/>
    <x v="5"/>
    <n v="9"/>
    <n v="24"/>
    <n v="771.63"/>
    <n v="846.24"/>
    <n v="20309.760000000002"/>
    <n v="18519.12"/>
    <n v="1790.6400000000031"/>
    <n v="60.301097871836213"/>
    <n v="1850.9410978718392"/>
    <n v="0"/>
    <n v="0"/>
    <n v="0"/>
    <n v="1850.9410978718392"/>
  </r>
  <r>
    <x v="5"/>
    <d v="2020-07-03T00:00:00"/>
    <d v="2020-07-24T00:00:00"/>
    <x v="5"/>
    <n v="9"/>
    <n v="32"/>
    <n v="771.63"/>
    <n v="846.24"/>
    <n v="27079.68"/>
    <n v="24692.16"/>
    <n v="2387.5200000000004"/>
    <n v="80.401463829114959"/>
    <n v="2467.9214638291155"/>
    <n v="0"/>
    <n v="0"/>
    <n v="0"/>
    <n v="2467.9214638291155"/>
  </r>
  <r>
    <x v="6"/>
    <d v="2020-08-05T00:00:00"/>
    <d v="2020-08-24T00:00:00"/>
    <x v="5"/>
    <n v="9"/>
    <n v="42"/>
    <n v="771.63"/>
    <n v="846.24"/>
    <n v="35542.080000000002"/>
    <n v="32408.46"/>
    <n v="3133.6200000000026"/>
    <n v="105.52692127571338"/>
    <n v="3239.1469212757161"/>
    <n v="0"/>
    <n v="0"/>
    <n v="0"/>
    <n v="3239.1469212757161"/>
  </r>
  <r>
    <x v="7"/>
    <d v="2020-09-03T00:00:00"/>
    <d v="2020-09-24T00:00:00"/>
    <x v="5"/>
    <n v="9"/>
    <n v="39"/>
    <n v="771.63"/>
    <n v="846.24"/>
    <n v="33003.360000000001"/>
    <n v="30093.57"/>
    <n v="2909.7900000000009"/>
    <n v="97.989284041733853"/>
    <n v="3007.7792840417346"/>
    <n v="0"/>
    <n v="0"/>
    <n v="0"/>
    <n v="3007.7792840417346"/>
  </r>
  <r>
    <x v="8"/>
    <d v="2020-10-05T00:00:00"/>
    <d v="2020-10-26T00:00:00"/>
    <x v="5"/>
    <n v="9"/>
    <n v="36"/>
    <n v="771.63"/>
    <n v="846.24"/>
    <n v="30464.639999999999"/>
    <n v="27778.68"/>
    <n v="2685.9599999999991"/>
    <n v="90.451646807754329"/>
    <n v="2776.4116468077536"/>
    <n v="0"/>
    <n v="0"/>
    <n v="0"/>
    <n v="2776.4116468077536"/>
  </r>
  <r>
    <x v="9"/>
    <d v="2020-11-04T00:00:00"/>
    <d v="2020-11-24T00:00:00"/>
    <x v="5"/>
    <n v="9"/>
    <n v="34"/>
    <n v="771.63"/>
    <n v="846.24"/>
    <n v="28772.16"/>
    <n v="26235.42"/>
    <n v="2536.7400000000016"/>
    <n v="85.426555318434652"/>
    <n v="2622.1665553184362"/>
    <n v="0"/>
    <n v="0"/>
    <n v="0"/>
    <n v="2622.1665553184362"/>
  </r>
  <r>
    <x v="10"/>
    <d v="2020-12-03T00:00:00"/>
    <d v="2020-12-24T00:00:00"/>
    <x v="5"/>
    <n v="9"/>
    <n v="37"/>
    <n v="771.63"/>
    <n v="846.24"/>
    <n v="31310.880000000001"/>
    <n v="28550.31"/>
    <n v="2760.5699999999997"/>
    <n v="92.964192552414175"/>
    <n v="2853.534192552414"/>
    <n v="0"/>
    <n v="0"/>
    <n v="0"/>
    <n v="2853.534192552414"/>
  </r>
  <r>
    <x v="11"/>
    <d v="2021-01-06T00:00:00"/>
    <d v="2021-01-25T00:00:00"/>
    <x v="5"/>
    <n v="9"/>
    <n v="41"/>
    <n v="771.63"/>
    <n v="846.24"/>
    <n v="34695.840000000004"/>
    <n v="31636.829999999998"/>
    <n v="3059.0100000000057"/>
    <n v="103.01437553105355"/>
    <n v="3162.0243755310594"/>
    <n v="0"/>
    <n v="0"/>
    <n v="0"/>
    <n v="3162.0243755310594"/>
  </r>
  <r>
    <x v="0"/>
    <d v="2020-02-05T00:00:00"/>
    <d v="2020-02-24T00:00:00"/>
    <x v="6"/>
    <n v="9"/>
    <n v="76"/>
    <n v="771.63"/>
    <n v="846.24"/>
    <n v="64314.239999999998"/>
    <n v="58643.88"/>
    <n v="5670.3600000000006"/>
    <n v="190.95347659414804"/>
    <n v="5861.3134765941486"/>
    <n v="0"/>
    <n v="0"/>
    <n v="0"/>
    <n v="5861.3134765941486"/>
  </r>
  <r>
    <x v="1"/>
    <d v="2020-03-04T00:00:00"/>
    <d v="2020-03-24T00:00:00"/>
    <x v="6"/>
    <n v="9"/>
    <n v="77"/>
    <n v="771.63"/>
    <n v="846.24"/>
    <n v="65160.480000000003"/>
    <n v="59415.51"/>
    <n v="5744.9700000000012"/>
    <n v="193.46602233880785"/>
    <n v="5938.4360223388094"/>
    <n v="0"/>
    <n v="0"/>
    <n v="0"/>
    <n v="5938.4360223388094"/>
  </r>
  <r>
    <x v="2"/>
    <d v="2020-04-03T00:00:00"/>
    <d v="2020-04-24T00:00:00"/>
    <x v="6"/>
    <n v="9"/>
    <n v="85"/>
    <n v="771.63"/>
    <n v="846.24"/>
    <n v="71930.399999999994"/>
    <n v="65588.55"/>
    <n v="6341.8499999999913"/>
    <n v="213.56638829608659"/>
    <n v="6555.4163882960775"/>
    <n v="0"/>
    <n v="0"/>
    <n v="0"/>
    <n v="6555.4163882960775"/>
  </r>
  <r>
    <x v="3"/>
    <d v="2020-05-05T00:00:00"/>
    <d v="2020-05-25T00:00:00"/>
    <x v="6"/>
    <n v="9"/>
    <n v="82"/>
    <n v="771.63"/>
    <n v="846.24"/>
    <n v="69391.680000000008"/>
    <n v="63273.659999999996"/>
    <n v="6118.0200000000114"/>
    <n v="206.02875106210709"/>
    <n v="6324.0487510621188"/>
    <n v="0"/>
    <n v="0"/>
    <n v="0"/>
    <n v="6324.0487510621188"/>
  </r>
  <r>
    <x v="4"/>
    <d v="2020-06-03T00:00:00"/>
    <d v="2020-06-24T00:00:00"/>
    <x v="6"/>
    <n v="9"/>
    <n v="117"/>
    <n v="771.63"/>
    <n v="846.24"/>
    <n v="99010.08"/>
    <n v="90280.71"/>
    <n v="8729.3699999999953"/>
    <n v="293.96785212520155"/>
    <n v="9023.3378521251962"/>
    <n v="0"/>
    <n v="0"/>
    <n v="0"/>
    <n v="9023.3378521251962"/>
  </r>
  <r>
    <x v="5"/>
    <d v="2020-07-03T00:00:00"/>
    <d v="2020-07-24T00:00:00"/>
    <x v="6"/>
    <n v="9"/>
    <n v="131"/>
    <n v="771.63"/>
    <n v="846.24"/>
    <n v="110857.44"/>
    <n v="101083.53"/>
    <n v="9773.9100000000035"/>
    <n v="329.14349255043936"/>
    <n v="10103.053492550443"/>
    <n v="0"/>
    <n v="0"/>
    <n v="0"/>
    <n v="10103.053492550443"/>
  </r>
  <r>
    <x v="6"/>
    <d v="2020-08-05T00:00:00"/>
    <d v="2020-08-24T00:00:00"/>
    <x v="6"/>
    <n v="9"/>
    <n v="147"/>
    <n v="771.63"/>
    <n v="846.24"/>
    <n v="124397.28"/>
    <n v="113429.61"/>
    <n v="10967.669999999998"/>
    <n v="369.34422446499684"/>
    <n v="11337.014224464994"/>
    <n v="0"/>
    <n v="0"/>
    <n v="0"/>
    <n v="11337.014224464994"/>
  </r>
  <r>
    <x v="7"/>
    <d v="2020-09-03T00:00:00"/>
    <d v="2020-09-24T00:00:00"/>
    <x v="6"/>
    <n v="9"/>
    <n v="141"/>
    <n v="771.63"/>
    <n v="846.24"/>
    <n v="119319.84"/>
    <n v="108799.83"/>
    <n v="10520.009999999995"/>
    <n v="354.26894999703779"/>
    <n v="10874.278949997033"/>
    <n v="0"/>
    <n v="0"/>
    <n v="0"/>
    <n v="10874.278949997033"/>
  </r>
  <r>
    <x v="8"/>
    <d v="2020-10-05T00:00:00"/>
    <d v="2020-10-26T00:00:00"/>
    <x v="6"/>
    <n v="9"/>
    <n v="111"/>
    <n v="771.63"/>
    <n v="846.24"/>
    <n v="93932.64"/>
    <n v="85650.93"/>
    <n v="8281.7100000000064"/>
    <n v="278.8925776572425"/>
    <n v="8560.6025776572496"/>
    <n v="0"/>
    <n v="0"/>
    <n v="0"/>
    <n v="8560.6025776572496"/>
  </r>
  <r>
    <x v="9"/>
    <d v="2020-11-04T00:00:00"/>
    <d v="2020-11-24T00:00:00"/>
    <x v="6"/>
    <n v="9"/>
    <n v="98"/>
    <n v="771.63"/>
    <n v="846.24"/>
    <n v="82931.520000000004"/>
    <n v="75619.740000000005"/>
    <n v="7311.7799999999988"/>
    <n v="246.22948297666454"/>
    <n v="7558.0094829766631"/>
    <n v="0"/>
    <n v="0"/>
    <n v="0"/>
    <n v="7558.0094829766631"/>
  </r>
  <r>
    <x v="10"/>
    <d v="2020-12-03T00:00:00"/>
    <d v="2020-12-24T00:00:00"/>
    <x v="6"/>
    <n v="9"/>
    <n v="74"/>
    <n v="771.63"/>
    <n v="846.24"/>
    <n v="62621.760000000002"/>
    <n v="57100.62"/>
    <n v="5521.1399999999994"/>
    <n v="185.92838510482835"/>
    <n v="5707.0683851048279"/>
    <n v="0"/>
    <n v="0"/>
    <n v="0"/>
    <n v="5707.0683851048279"/>
  </r>
  <r>
    <x v="11"/>
    <d v="2021-01-06T00:00:00"/>
    <d v="2021-01-25T00:00:00"/>
    <x v="6"/>
    <n v="9"/>
    <n v="78"/>
    <n v="771.63"/>
    <n v="846.24"/>
    <n v="66006.720000000001"/>
    <n v="60187.14"/>
    <n v="5819.5800000000017"/>
    <n v="195.97856808346771"/>
    <n v="6015.5585680834693"/>
    <n v="0"/>
    <n v="0"/>
    <n v="0"/>
    <n v="6015.5585680834693"/>
  </r>
  <r>
    <x v="0"/>
    <d v="2020-02-05T00:00:00"/>
    <d v="2020-02-24T00:00:00"/>
    <x v="7"/>
    <n v="9"/>
    <n v="39"/>
    <n v="771.63"/>
    <n v="846.24"/>
    <n v="33003.360000000001"/>
    <n v="30093.57"/>
    <n v="2909.7900000000009"/>
    <n v="97.989284041733853"/>
    <n v="3007.7792840417346"/>
    <n v="0"/>
    <n v="0"/>
    <n v="0"/>
    <n v="3007.7792840417346"/>
  </r>
  <r>
    <x v="1"/>
    <d v="2020-03-04T00:00:00"/>
    <d v="2020-03-24T00:00:00"/>
    <x v="7"/>
    <n v="9"/>
    <n v="41"/>
    <n v="771.63"/>
    <n v="846.24"/>
    <n v="34695.840000000004"/>
    <n v="31636.829999999998"/>
    <n v="3059.0100000000057"/>
    <n v="103.01437553105355"/>
    <n v="3162.0243755310594"/>
    <n v="0"/>
    <n v="0"/>
    <n v="0"/>
    <n v="3162.0243755310594"/>
  </r>
  <r>
    <x v="2"/>
    <d v="2020-04-03T00:00:00"/>
    <d v="2020-04-24T00:00:00"/>
    <x v="7"/>
    <n v="9"/>
    <n v="36"/>
    <n v="771.63"/>
    <n v="846.24"/>
    <n v="30464.639999999999"/>
    <n v="27778.68"/>
    <n v="2685.9599999999991"/>
    <n v="90.451646807754329"/>
    <n v="2776.4116468077536"/>
    <n v="0"/>
    <n v="0"/>
    <n v="0"/>
    <n v="2776.4116468077536"/>
  </r>
  <r>
    <x v="3"/>
    <d v="2020-05-05T00:00:00"/>
    <d v="2020-05-25T00:00:00"/>
    <x v="7"/>
    <n v="9"/>
    <n v="31"/>
    <n v="771.63"/>
    <n v="846.24"/>
    <n v="26233.439999999999"/>
    <n v="23920.53"/>
    <n v="2312.91"/>
    <n v="77.888918084455113"/>
    <n v="2390.7989180844552"/>
    <n v="0"/>
    <n v="0"/>
    <n v="0"/>
    <n v="2390.7989180844552"/>
  </r>
  <r>
    <x v="4"/>
    <d v="2020-06-03T00:00:00"/>
    <d v="2020-06-24T00:00:00"/>
    <x v="7"/>
    <n v="9"/>
    <n v="32"/>
    <n v="771.63"/>
    <n v="846.24"/>
    <n v="27079.68"/>
    <n v="24692.16"/>
    <n v="2387.5200000000004"/>
    <n v="80.401463829114959"/>
    <n v="2467.9214638291155"/>
    <n v="0"/>
    <n v="0"/>
    <n v="0"/>
    <n v="2467.9214638291155"/>
  </r>
  <r>
    <x v="5"/>
    <d v="2020-07-03T00:00:00"/>
    <d v="2020-07-24T00:00:00"/>
    <x v="7"/>
    <n v="9"/>
    <n v="39"/>
    <n v="771.63"/>
    <n v="846.24"/>
    <n v="33003.360000000001"/>
    <n v="30093.57"/>
    <n v="2909.7900000000009"/>
    <n v="97.989284041733853"/>
    <n v="3007.7792840417346"/>
    <n v="0"/>
    <n v="0"/>
    <n v="0"/>
    <n v="3007.7792840417346"/>
  </r>
  <r>
    <x v="6"/>
    <d v="2020-08-05T00:00:00"/>
    <d v="2020-08-24T00:00:00"/>
    <x v="7"/>
    <n v="9"/>
    <n v="44"/>
    <n v="771.63"/>
    <n v="846.24"/>
    <n v="37234.559999999998"/>
    <n v="33951.72"/>
    <n v="3282.8399999999965"/>
    <n v="110.55201276503307"/>
    <n v="3393.3920127650294"/>
    <n v="0"/>
    <n v="0"/>
    <n v="0"/>
    <n v="3393.3920127650294"/>
  </r>
  <r>
    <x v="7"/>
    <d v="2020-09-03T00:00:00"/>
    <d v="2020-09-24T00:00:00"/>
    <x v="7"/>
    <n v="9"/>
    <n v="38"/>
    <n v="771.63"/>
    <n v="846.24"/>
    <n v="32157.119999999999"/>
    <n v="29321.94"/>
    <n v="2835.1800000000003"/>
    <n v="95.476738297074021"/>
    <n v="2930.6567382970743"/>
    <n v="0"/>
    <n v="0"/>
    <n v="0"/>
    <n v="2930.6567382970743"/>
  </r>
  <r>
    <x v="8"/>
    <d v="2020-10-05T00:00:00"/>
    <d v="2020-10-26T00:00:00"/>
    <x v="7"/>
    <n v="9"/>
    <n v="41"/>
    <n v="771.63"/>
    <n v="846.24"/>
    <n v="34695.840000000004"/>
    <n v="31636.829999999998"/>
    <n v="3059.0100000000057"/>
    <n v="103.01437553105355"/>
    <n v="3162.0243755310594"/>
    <n v="0"/>
    <n v="0"/>
    <n v="0"/>
    <n v="3162.0243755310594"/>
  </r>
  <r>
    <x v="9"/>
    <d v="2020-11-04T00:00:00"/>
    <d v="2020-11-24T00:00:00"/>
    <x v="7"/>
    <n v="9"/>
    <n v="42"/>
    <n v="771.63"/>
    <n v="846.24"/>
    <n v="35542.080000000002"/>
    <n v="32408.46"/>
    <n v="3133.6200000000026"/>
    <n v="105.52692127571338"/>
    <n v="3239.1469212757161"/>
    <n v="0"/>
    <n v="0"/>
    <n v="0"/>
    <n v="3239.1469212757161"/>
  </r>
  <r>
    <x v="10"/>
    <d v="2020-12-03T00:00:00"/>
    <d v="2020-12-24T00:00:00"/>
    <x v="7"/>
    <n v="9"/>
    <n v="45"/>
    <n v="771.63"/>
    <n v="846.24"/>
    <n v="38080.800000000003"/>
    <n v="34723.35"/>
    <n v="3357.4500000000044"/>
    <n v="113.06455850969292"/>
    <n v="3470.5145585096971"/>
    <n v="0"/>
    <n v="0"/>
    <n v="0"/>
    <n v="3470.5145585096971"/>
  </r>
  <r>
    <x v="11"/>
    <d v="2021-01-06T00:00:00"/>
    <d v="2021-01-25T00:00:00"/>
    <x v="7"/>
    <n v="9"/>
    <n v="43"/>
    <n v="771.63"/>
    <n v="846.24"/>
    <n v="36388.32"/>
    <n v="33180.089999999997"/>
    <n v="3208.2300000000032"/>
    <n v="108.03946702037322"/>
    <n v="3316.2694670203764"/>
    <n v="0"/>
    <n v="0"/>
    <n v="0"/>
    <n v="3316.2694670203764"/>
  </r>
  <r>
    <x v="0"/>
    <d v="2020-02-05T00:00:00"/>
    <d v="2020-02-24T00:00:00"/>
    <x v="8"/>
    <n v="9"/>
    <n v="973"/>
    <n v="771.63"/>
    <n v="846.24"/>
    <n v="823391.52"/>
    <n v="750795.99"/>
    <n v="72595.530000000028"/>
    <n v="2444.7070095540266"/>
    <n v="75040.237009554054"/>
    <n v="0"/>
    <n v="0"/>
    <n v="0"/>
    <n v="75040.237009554054"/>
  </r>
  <r>
    <x v="1"/>
    <d v="2020-03-04T00:00:00"/>
    <d v="2020-03-24T00:00:00"/>
    <x v="8"/>
    <n v="9"/>
    <n v="991"/>
    <n v="771.63"/>
    <n v="846.24"/>
    <n v="838623.84"/>
    <n v="764685.33"/>
    <n v="73938.510000000009"/>
    <n v="2489.9328329579039"/>
    <n v="76428.44283295791"/>
    <n v="0"/>
    <n v="0"/>
    <n v="0"/>
    <n v="76428.44283295791"/>
  </r>
  <r>
    <x v="2"/>
    <d v="2020-04-03T00:00:00"/>
    <d v="2020-04-24T00:00:00"/>
    <x v="8"/>
    <n v="9"/>
    <n v="585"/>
    <n v="771.63"/>
    <n v="846.24"/>
    <n v="495050.4"/>
    <n v="451403.55"/>
    <n v="43646.850000000035"/>
    <n v="1469.8392606260079"/>
    <n v="45116.689260626044"/>
    <n v="0"/>
    <n v="0"/>
    <n v="0"/>
    <n v="45116.689260626044"/>
  </r>
  <r>
    <x v="3"/>
    <d v="2020-05-05T00:00:00"/>
    <d v="2020-05-25T00:00:00"/>
    <x v="8"/>
    <n v="9"/>
    <n v="650"/>
    <n v="771.63"/>
    <n v="846.24"/>
    <n v="550056"/>
    <n v="501559.5"/>
    <n v="48496.5"/>
    <n v="1633.1547340288976"/>
    <n v="50129.654734028896"/>
    <n v="0"/>
    <n v="0"/>
    <n v="0"/>
    <n v="50129.654734028896"/>
  </r>
  <r>
    <x v="4"/>
    <d v="2020-06-03T00:00:00"/>
    <d v="2020-06-24T00:00:00"/>
    <x v="8"/>
    <n v="9"/>
    <n v="688"/>
    <n v="771.63"/>
    <n v="846.24"/>
    <n v="582213.12"/>
    <n v="530881.43999999994"/>
    <n v="51331.680000000051"/>
    <n v="1728.6314723259716"/>
    <n v="53060.311472326022"/>
    <n v="0"/>
    <n v="0"/>
    <n v="0"/>
    <n v="53060.311472326022"/>
  </r>
  <r>
    <x v="5"/>
    <d v="2020-07-03T00:00:00"/>
    <d v="2020-07-24T00:00:00"/>
    <x v="8"/>
    <n v="9"/>
    <n v="835"/>
    <n v="771.63"/>
    <n v="846.24"/>
    <n v="706610.4"/>
    <n v="644311.05000000005"/>
    <n v="62299.349999999977"/>
    <n v="2097.9756967909684"/>
    <n v="64397.325696790947"/>
    <n v="0"/>
    <n v="0"/>
    <n v="0"/>
    <n v="64397.325696790947"/>
  </r>
  <r>
    <x v="6"/>
    <d v="2020-08-05T00:00:00"/>
    <d v="2020-08-24T00:00:00"/>
    <x v="8"/>
    <n v="9"/>
    <n v="908"/>
    <n v="771.63"/>
    <n v="846.24"/>
    <n v="768385.92"/>
    <n v="700640.04"/>
    <n v="67745.88"/>
    <n v="2281.3915361511367"/>
    <n v="70027.271536151136"/>
    <n v="0"/>
    <n v="0"/>
    <n v="0"/>
    <n v="70027.271536151136"/>
  </r>
  <r>
    <x v="7"/>
    <d v="2020-09-03T00:00:00"/>
    <d v="2020-09-24T00:00:00"/>
    <x v="8"/>
    <n v="9"/>
    <n v="905"/>
    <n v="771.63"/>
    <n v="846.24"/>
    <n v="765847.2"/>
    <n v="698325.15"/>
    <n v="67522.04999999993"/>
    <n v="2273.8538989171575"/>
    <n v="69795.90389891708"/>
    <n v="0"/>
    <n v="0"/>
    <n v="0"/>
    <n v="69795.90389891708"/>
  </r>
  <r>
    <x v="8"/>
    <d v="2020-10-05T00:00:00"/>
    <d v="2020-10-26T00:00:00"/>
    <x v="8"/>
    <n v="9"/>
    <n v="758"/>
    <n v="771.63"/>
    <n v="846.24"/>
    <n v="641449.92000000004"/>
    <n v="584895.54"/>
    <n v="56554.380000000005"/>
    <n v="1904.5096744521604"/>
    <n v="58458.889674452163"/>
    <n v="0"/>
    <n v="0"/>
    <n v="0"/>
    <n v="58458.889674452163"/>
  </r>
  <r>
    <x v="9"/>
    <d v="2020-11-04T00:00:00"/>
    <d v="2020-11-24T00:00:00"/>
    <x v="8"/>
    <n v="9"/>
    <n v="713"/>
    <n v="771.63"/>
    <n v="846.24"/>
    <n v="603369.12"/>
    <n v="550172.18999999994"/>
    <n v="53196.930000000051"/>
    <n v="1791.4451159424677"/>
    <n v="54988.375115942516"/>
    <n v="0"/>
    <n v="0"/>
    <n v="0"/>
    <n v="54988.375115942516"/>
  </r>
  <r>
    <x v="10"/>
    <d v="2020-12-03T00:00:00"/>
    <d v="2020-12-24T00:00:00"/>
    <x v="8"/>
    <n v="9"/>
    <n v="763"/>
    <n v="771.63"/>
    <n v="846.24"/>
    <n v="645681.12"/>
    <n v="588753.68999999994"/>
    <n v="56927.430000000051"/>
    <n v="1917.0724031754598"/>
    <n v="58844.502403175509"/>
    <n v="0"/>
    <n v="0"/>
    <n v="0"/>
    <n v="58844.502403175509"/>
  </r>
  <r>
    <x v="11"/>
    <d v="2021-01-06T00:00:00"/>
    <d v="2021-01-25T00:00:00"/>
    <x v="8"/>
    <n v="9"/>
    <n v="988"/>
    <n v="771.63"/>
    <n v="846.24"/>
    <n v="836085.12"/>
    <n v="762370.44"/>
    <n v="73714.680000000051"/>
    <n v="2482.3951957239242"/>
    <n v="76197.07519572397"/>
    <n v="0"/>
    <n v="0"/>
    <n v="0"/>
    <n v="76197.07519572397"/>
  </r>
  <r>
    <x v="0"/>
    <d v="2020-02-05T00:00:00"/>
    <d v="2020-02-24T00:00:00"/>
    <x v="9"/>
    <n v="9"/>
    <n v="6"/>
    <n v="771.63"/>
    <n v="846.24"/>
    <n v="5077.4400000000005"/>
    <n v="4629.78"/>
    <n v="447.66000000000076"/>
    <n v="15.075274467959053"/>
    <n v="462.73527446795981"/>
    <n v="0"/>
    <n v="0"/>
    <n v="0"/>
    <n v="462.73527446795981"/>
  </r>
  <r>
    <x v="1"/>
    <d v="2020-03-04T00:00:00"/>
    <d v="2020-03-24T00:00:00"/>
    <x v="9"/>
    <n v="9"/>
    <n v="5"/>
    <n v="771.63"/>
    <n v="846.24"/>
    <n v="4231.2"/>
    <n v="3858.15"/>
    <n v="373.04999999999973"/>
    <n v="12.562728723299212"/>
    <n v="385.61272872329891"/>
    <n v="0"/>
    <n v="0"/>
    <n v="0"/>
    <n v="385.61272872329891"/>
  </r>
  <r>
    <x v="2"/>
    <d v="2020-04-03T00:00:00"/>
    <d v="2020-04-24T00:00:00"/>
    <x v="9"/>
    <n v="9"/>
    <n v="4"/>
    <n v="771.63"/>
    <n v="846.24"/>
    <n v="3384.96"/>
    <n v="3086.52"/>
    <n v="298.44000000000005"/>
    <n v="10.05018297863937"/>
    <n v="308.49018297863944"/>
    <n v="0"/>
    <n v="0"/>
    <n v="0"/>
    <n v="308.49018297863944"/>
  </r>
  <r>
    <x v="3"/>
    <d v="2020-05-05T00:00:00"/>
    <d v="2020-05-25T00:00:00"/>
    <x v="9"/>
    <n v="9"/>
    <n v="7"/>
    <n v="771.63"/>
    <n v="846.24"/>
    <n v="5923.68"/>
    <n v="5401.41"/>
    <n v="522.27000000000044"/>
    <n v="17.587820212618897"/>
    <n v="539.85782021261934"/>
    <n v="0"/>
    <n v="0"/>
    <n v="0"/>
    <n v="539.85782021261934"/>
  </r>
  <r>
    <x v="4"/>
    <d v="2020-06-03T00:00:00"/>
    <d v="2020-06-24T00:00:00"/>
    <x v="9"/>
    <n v="9"/>
    <n v="11"/>
    <n v="771.63"/>
    <n v="846.24"/>
    <n v="9308.64"/>
    <n v="8487.93"/>
    <n v="820.70999999999913"/>
    <n v="27.638003191258267"/>
    <n v="848.34800319125736"/>
    <n v="0"/>
    <n v="0"/>
    <n v="0"/>
    <n v="848.34800319125736"/>
  </r>
  <r>
    <x v="5"/>
    <d v="2020-07-03T00:00:00"/>
    <d v="2020-07-24T00:00:00"/>
    <x v="9"/>
    <n v="9"/>
    <n v="12"/>
    <n v="771.63"/>
    <n v="846.24"/>
    <n v="10154.880000000001"/>
    <n v="9259.56"/>
    <n v="895.32000000000153"/>
    <n v="30.150548935918106"/>
    <n v="925.47054893591962"/>
    <n v="0"/>
    <n v="0"/>
    <n v="0"/>
    <n v="925.47054893591962"/>
  </r>
  <r>
    <x v="6"/>
    <d v="2020-08-05T00:00:00"/>
    <d v="2020-08-24T00:00:00"/>
    <x v="9"/>
    <n v="9"/>
    <n v="18"/>
    <n v="771.63"/>
    <n v="846.24"/>
    <n v="15232.32"/>
    <n v="13889.34"/>
    <n v="1342.9799999999996"/>
    <n v="45.225823403877165"/>
    <n v="1388.2058234038768"/>
    <n v="0"/>
    <n v="0"/>
    <n v="0"/>
    <n v="1388.2058234038768"/>
  </r>
  <r>
    <x v="7"/>
    <d v="2020-09-03T00:00:00"/>
    <d v="2020-09-24T00:00:00"/>
    <x v="9"/>
    <n v="9"/>
    <n v="16"/>
    <n v="771.63"/>
    <n v="846.24"/>
    <n v="13539.84"/>
    <n v="12346.08"/>
    <n v="1193.7600000000002"/>
    <n v="40.20073191455748"/>
    <n v="1233.9607319145578"/>
    <n v="0"/>
    <n v="0"/>
    <n v="0"/>
    <n v="1233.9607319145578"/>
  </r>
  <r>
    <x v="8"/>
    <d v="2020-10-05T00:00:00"/>
    <d v="2020-10-26T00:00:00"/>
    <x v="9"/>
    <n v="9"/>
    <n v="6"/>
    <n v="771.63"/>
    <n v="846.24"/>
    <n v="5077.4400000000005"/>
    <n v="4629.78"/>
    <n v="447.66000000000076"/>
    <n v="15.075274467959053"/>
    <n v="462.73527446795981"/>
    <n v="0"/>
    <n v="0"/>
    <n v="0"/>
    <n v="462.73527446795981"/>
  </r>
  <r>
    <x v="9"/>
    <d v="2020-11-04T00:00:00"/>
    <d v="2020-11-24T00:00:00"/>
    <x v="9"/>
    <n v="9"/>
    <n v="7"/>
    <n v="771.63"/>
    <n v="846.24"/>
    <n v="5923.68"/>
    <n v="5401.41"/>
    <n v="522.27000000000044"/>
    <n v="17.587820212618897"/>
    <n v="539.85782021261934"/>
    <n v="0"/>
    <n v="0"/>
    <n v="0"/>
    <n v="539.85782021261934"/>
  </r>
  <r>
    <x v="10"/>
    <d v="2020-12-03T00:00:00"/>
    <d v="2020-12-24T00:00:00"/>
    <x v="9"/>
    <n v="9"/>
    <n v="6"/>
    <n v="771.63"/>
    <n v="846.24"/>
    <n v="5077.4400000000005"/>
    <n v="4629.78"/>
    <n v="447.66000000000076"/>
    <n v="15.075274467959053"/>
    <n v="462.73527446795981"/>
    <n v="0"/>
    <n v="0"/>
    <n v="0"/>
    <n v="462.73527446795981"/>
  </r>
  <r>
    <x v="11"/>
    <d v="2021-01-06T00:00:00"/>
    <d v="2021-01-25T00:00:00"/>
    <x v="9"/>
    <n v="9"/>
    <n v="8"/>
    <n v="771.63"/>
    <n v="846.24"/>
    <n v="6769.92"/>
    <n v="6173.04"/>
    <n v="596.88000000000011"/>
    <n v="20.10036595727874"/>
    <n v="616.98036595727888"/>
    <n v="0"/>
    <n v="0"/>
    <n v="0"/>
    <n v="616.98036595727888"/>
  </r>
  <r>
    <x v="0"/>
    <d v="2020-02-05T00:00:00"/>
    <d v="2020-02-24T00:00:00"/>
    <x v="10"/>
    <n v="9"/>
    <n v="2"/>
    <n v="771.63"/>
    <n v="846.24"/>
    <n v="1692.48"/>
    <n v="1543.26"/>
    <n v="149.22000000000003"/>
    <n v="5.025091489319685"/>
    <n v="154.24509148931972"/>
    <n v="0"/>
    <n v="0"/>
    <n v="0"/>
    <n v="154.24509148931972"/>
  </r>
  <r>
    <x v="1"/>
    <d v="2020-03-04T00:00:00"/>
    <d v="2020-03-24T00:00:00"/>
    <x v="10"/>
    <n v="9"/>
    <n v="3"/>
    <n v="771.63"/>
    <n v="846.24"/>
    <n v="2538.7200000000003"/>
    <n v="2314.89"/>
    <n v="223.83000000000038"/>
    <n v="7.5376372339795266"/>
    <n v="231.36763723397991"/>
    <n v="0"/>
    <n v="0"/>
    <n v="0"/>
    <n v="231.36763723397991"/>
  </r>
  <r>
    <x v="2"/>
    <d v="2020-04-03T00:00:00"/>
    <d v="2020-04-24T00:00:00"/>
    <x v="10"/>
    <n v="9"/>
    <n v="1"/>
    <n v="771.63"/>
    <n v="846.24"/>
    <n v="846.24"/>
    <n v="771.63"/>
    <n v="74.610000000000014"/>
    <n v="2.5125457446598425"/>
    <n v="77.12254574465986"/>
    <n v="0"/>
    <n v="0"/>
    <n v="0"/>
    <n v="77.12254574465986"/>
  </r>
  <r>
    <x v="3"/>
    <d v="2020-05-05T00:00:00"/>
    <d v="2020-05-25T00:00:00"/>
    <x v="10"/>
    <n v="9"/>
    <n v="2"/>
    <n v="771.63"/>
    <n v="846.24"/>
    <n v="1692.48"/>
    <n v="1543.26"/>
    <n v="149.22000000000003"/>
    <n v="5.025091489319685"/>
    <n v="154.24509148931972"/>
    <n v="0"/>
    <n v="0"/>
    <n v="0"/>
    <n v="154.24509148931972"/>
  </r>
  <r>
    <x v="4"/>
    <d v="2020-06-03T00:00:00"/>
    <d v="2020-06-24T00:00:00"/>
    <x v="10"/>
    <n v="9"/>
    <n v="2"/>
    <n v="771.63"/>
    <n v="846.24"/>
    <n v="1692.48"/>
    <n v="1543.26"/>
    <n v="149.22000000000003"/>
    <n v="5.025091489319685"/>
    <n v="154.24509148931972"/>
    <n v="0"/>
    <n v="0"/>
    <n v="0"/>
    <n v="154.24509148931972"/>
  </r>
  <r>
    <x v="5"/>
    <d v="2020-07-03T00:00:00"/>
    <d v="2020-07-24T00:00:00"/>
    <x v="10"/>
    <n v="9"/>
    <n v="4"/>
    <n v="771.63"/>
    <n v="846.24"/>
    <n v="3384.96"/>
    <n v="3086.52"/>
    <n v="298.44000000000005"/>
    <n v="10.05018297863937"/>
    <n v="308.49018297863944"/>
    <n v="0"/>
    <n v="0"/>
    <n v="0"/>
    <n v="308.49018297863944"/>
  </r>
  <r>
    <x v="6"/>
    <d v="2020-08-05T00:00:00"/>
    <d v="2020-08-24T00:00:00"/>
    <x v="10"/>
    <n v="9"/>
    <n v="6"/>
    <n v="771.63"/>
    <n v="846.24"/>
    <n v="5077.4400000000005"/>
    <n v="4629.78"/>
    <n v="447.66000000000076"/>
    <n v="15.075274467959053"/>
    <n v="462.73527446795981"/>
    <n v="0"/>
    <n v="0"/>
    <n v="0"/>
    <n v="462.73527446795981"/>
  </r>
  <r>
    <x v="7"/>
    <d v="2020-09-03T00:00:00"/>
    <d v="2020-09-24T00:00:00"/>
    <x v="10"/>
    <n v="9"/>
    <n v="5"/>
    <n v="771.63"/>
    <n v="846.24"/>
    <n v="4231.2"/>
    <n v="3858.15"/>
    <n v="373.04999999999973"/>
    <n v="12.562728723299212"/>
    <n v="385.61272872329891"/>
    <n v="0"/>
    <n v="0"/>
    <n v="0"/>
    <n v="385.61272872329891"/>
  </r>
  <r>
    <x v="8"/>
    <d v="2020-10-05T00:00:00"/>
    <d v="2020-10-26T00:00:00"/>
    <x v="10"/>
    <n v="9"/>
    <n v="2"/>
    <n v="771.63"/>
    <n v="846.24"/>
    <n v="1692.48"/>
    <n v="1543.26"/>
    <n v="149.22000000000003"/>
    <n v="5.025091489319685"/>
    <n v="154.24509148931972"/>
    <n v="0"/>
    <n v="0"/>
    <n v="0"/>
    <n v="154.24509148931972"/>
  </r>
  <r>
    <x v="9"/>
    <d v="2020-11-04T00:00:00"/>
    <d v="2020-11-24T00:00:00"/>
    <x v="10"/>
    <n v="9"/>
    <n v="1"/>
    <n v="771.63"/>
    <n v="846.24"/>
    <n v="846.24"/>
    <n v="771.63"/>
    <n v="74.610000000000014"/>
    <n v="2.5125457446598425"/>
    <n v="77.12254574465986"/>
    <n v="0"/>
    <n v="0"/>
    <n v="0"/>
    <n v="77.12254574465986"/>
  </r>
  <r>
    <x v="10"/>
    <d v="2020-12-03T00:00:00"/>
    <d v="2020-12-24T00:00:00"/>
    <x v="10"/>
    <n v="9"/>
    <n v="3"/>
    <n v="771.63"/>
    <n v="846.24"/>
    <n v="2538.7200000000003"/>
    <n v="2314.89"/>
    <n v="223.83000000000038"/>
    <n v="7.5376372339795266"/>
    <n v="231.36763723397991"/>
    <n v="0"/>
    <n v="0"/>
    <n v="0"/>
    <n v="231.36763723397991"/>
  </r>
  <r>
    <x v="11"/>
    <d v="2021-01-06T00:00:00"/>
    <d v="2021-01-25T00:00:00"/>
    <x v="10"/>
    <n v="9"/>
    <n v="1"/>
    <n v="771.63"/>
    <n v="846.24"/>
    <n v="846.24"/>
    <n v="771.63"/>
    <n v="74.610000000000014"/>
    <n v="2.5125457446598425"/>
    <n v="77.12254574465986"/>
    <n v="0"/>
    <n v="0"/>
    <n v="0"/>
    <n v="77.12254574465986"/>
  </r>
  <r>
    <x v="0"/>
    <d v="2020-02-05T00:00:00"/>
    <d v="2020-02-24T00:00:00"/>
    <x v="11"/>
    <n v="9"/>
    <n v="109"/>
    <n v="771.63"/>
    <n v="846.24"/>
    <n v="92240.16"/>
    <n v="84107.67"/>
    <n v="8132.4900000000052"/>
    <n v="273.86748616792278"/>
    <n v="8406.3574861679281"/>
    <n v="0"/>
    <n v="0"/>
    <n v="0"/>
    <n v="8406.3574861679281"/>
  </r>
  <r>
    <x v="1"/>
    <d v="2020-03-04T00:00:00"/>
    <d v="2020-03-24T00:00:00"/>
    <x v="11"/>
    <n v="9"/>
    <n v="104"/>
    <n v="771.63"/>
    <n v="846.24"/>
    <n v="88008.960000000006"/>
    <n v="80249.52"/>
    <n v="7759.4400000000023"/>
    <n v="261.30475744462365"/>
    <n v="8020.744757444626"/>
    <n v="0"/>
    <n v="0"/>
    <n v="0"/>
    <n v="8020.744757444626"/>
  </r>
  <r>
    <x v="2"/>
    <d v="2020-04-03T00:00:00"/>
    <d v="2020-04-24T00:00:00"/>
    <x v="11"/>
    <n v="9"/>
    <n v="87"/>
    <n v="771.63"/>
    <n v="846.24"/>
    <n v="73622.880000000005"/>
    <n v="67131.81"/>
    <n v="6491.070000000007"/>
    <n v="218.59147978540628"/>
    <n v="6709.6614797854136"/>
    <n v="0"/>
    <n v="0"/>
    <n v="0"/>
    <n v="6709.6614797854136"/>
  </r>
  <r>
    <x v="3"/>
    <d v="2020-05-05T00:00:00"/>
    <d v="2020-05-25T00:00:00"/>
    <x v="11"/>
    <n v="9"/>
    <n v="102"/>
    <n v="771.63"/>
    <n v="846.24"/>
    <n v="86316.479999999996"/>
    <n v="78706.259999999995"/>
    <n v="7610.2200000000012"/>
    <n v="256.27966595530393"/>
    <n v="7866.4996659553053"/>
    <n v="0"/>
    <n v="0"/>
    <n v="0"/>
    <n v="7866.4996659553053"/>
  </r>
  <r>
    <x v="4"/>
    <d v="2020-06-03T00:00:00"/>
    <d v="2020-06-24T00:00:00"/>
    <x v="11"/>
    <n v="9"/>
    <n v="92"/>
    <n v="771.63"/>
    <n v="846.24"/>
    <n v="77854.080000000002"/>
    <n v="70989.960000000006"/>
    <n v="6864.1199999999953"/>
    <n v="231.15420850870549"/>
    <n v="7095.2742085087011"/>
    <n v="0"/>
    <n v="0"/>
    <n v="0"/>
    <n v="7095.2742085087011"/>
  </r>
  <r>
    <x v="5"/>
    <d v="2020-07-03T00:00:00"/>
    <d v="2020-07-24T00:00:00"/>
    <x v="11"/>
    <n v="9"/>
    <n v="143"/>
    <n v="771.63"/>
    <n v="846.24"/>
    <n v="121012.32"/>
    <n v="110343.09"/>
    <n v="10669.23000000001"/>
    <n v="359.29404148635746"/>
    <n v="11028.524041486367"/>
    <n v="0"/>
    <n v="0"/>
    <n v="0"/>
    <n v="11028.524041486367"/>
  </r>
  <r>
    <x v="6"/>
    <d v="2020-08-05T00:00:00"/>
    <d v="2020-08-24T00:00:00"/>
    <x v="11"/>
    <n v="9"/>
    <n v="138"/>
    <n v="771.63"/>
    <n v="846.24"/>
    <n v="116781.12"/>
    <n v="106484.94"/>
    <n v="10296.179999999993"/>
    <n v="346.73131276305821"/>
    <n v="10642.911312763052"/>
    <n v="0"/>
    <n v="0"/>
    <n v="0"/>
    <n v="10642.911312763052"/>
  </r>
  <r>
    <x v="7"/>
    <d v="2020-09-03T00:00:00"/>
    <d v="2020-09-24T00:00:00"/>
    <x v="11"/>
    <n v="9"/>
    <n v="152"/>
    <n v="771.63"/>
    <n v="846.24"/>
    <n v="128628.48"/>
    <n v="117287.76"/>
    <n v="11340.720000000001"/>
    <n v="381.90695318829609"/>
    <n v="11722.626953188297"/>
    <n v="0"/>
    <n v="0"/>
    <n v="0"/>
    <n v="11722.626953188297"/>
  </r>
  <r>
    <x v="8"/>
    <d v="2020-10-05T00:00:00"/>
    <d v="2020-10-26T00:00:00"/>
    <x v="11"/>
    <n v="9"/>
    <n v="136"/>
    <n v="771.63"/>
    <n v="846.24"/>
    <n v="115088.64"/>
    <n v="104941.68"/>
    <n v="10146.960000000006"/>
    <n v="341.70622127373861"/>
    <n v="10488.666221273745"/>
    <n v="0"/>
    <n v="0"/>
    <n v="0"/>
    <n v="10488.666221273745"/>
  </r>
  <r>
    <x v="9"/>
    <d v="2020-11-04T00:00:00"/>
    <d v="2020-11-24T00:00:00"/>
    <x v="11"/>
    <n v="9"/>
    <n v="107"/>
    <n v="771.63"/>
    <n v="846.24"/>
    <n v="90547.680000000008"/>
    <n v="82564.41"/>
    <n v="7983.2700000000041"/>
    <n v="268.84239467860317"/>
    <n v="8252.1123946786065"/>
    <n v="0"/>
    <n v="0"/>
    <n v="0"/>
    <n v="8252.1123946786065"/>
  </r>
  <r>
    <x v="10"/>
    <d v="2020-12-03T00:00:00"/>
    <d v="2020-12-24T00:00:00"/>
    <x v="11"/>
    <n v="9"/>
    <n v="95"/>
    <n v="771.63"/>
    <n v="846.24"/>
    <n v="80392.800000000003"/>
    <n v="73304.850000000006"/>
    <n v="7087.9499999999971"/>
    <n v="238.69184574268502"/>
    <n v="7326.6418457426826"/>
    <n v="0"/>
    <n v="0"/>
    <n v="0"/>
    <n v="7326.6418457426826"/>
  </r>
  <r>
    <x v="11"/>
    <d v="2021-01-06T00:00:00"/>
    <d v="2021-01-25T00:00:00"/>
    <x v="11"/>
    <n v="9"/>
    <n v="99"/>
    <n v="771.63"/>
    <n v="846.24"/>
    <n v="83777.759999999995"/>
    <n v="76391.37"/>
    <n v="7386.3899999999994"/>
    <n v="248.7420287213244"/>
    <n v="7635.1320287213239"/>
    <n v="0"/>
    <n v="0"/>
    <n v="0"/>
    <n v="7635.1320287213239"/>
  </r>
  <r>
    <x v="0"/>
    <d v="2020-02-05T00:00:00"/>
    <d v="2020-02-24T00:00:00"/>
    <x v="12"/>
    <n v="9"/>
    <n v="11"/>
    <n v="771.63"/>
    <n v="846.24"/>
    <n v="9308.64"/>
    <n v="8487.93"/>
    <n v="820.70999999999913"/>
    <n v="27.638003191258267"/>
    <n v="848.34800319125736"/>
    <n v="0"/>
    <n v="0"/>
    <n v="0"/>
    <n v="848.34800319125736"/>
  </r>
  <r>
    <x v="1"/>
    <d v="2020-03-04T00:00:00"/>
    <d v="2020-03-24T00:00:00"/>
    <x v="12"/>
    <n v="9"/>
    <n v="10"/>
    <n v="771.63"/>
    <n v="846.24"/>
    <n v="8462.4"/>
    <n v="7716.3"/>
    <n v="746.09999999999945"/>
    <n v="25.125457446598425"/>
    <n v="771.22545744659783"/>
    <n v="0"/>
    <n v="0"/>
    <n v="0"/>
    <n v="771.22545744659783"/>
  </r>
  <r>
    <x v="2"/>
    <d v="2020-04-03T00:00:00"/>
    <d v="2020-04-24T00:00:00"/>
    <x v="12"/>
    <n v="9"/>
    <n v="10"/>
    <n v="771.63"/>
    <n v="846.24"/>
    <n v="8462.4"/>
    <n v="7716.3"/>
    <n v="746.09999999999945"/>
    <n v="25.125457446598425"/>
    <n v="771.22545744659783"/>
    <n v="0"/>
    <n v="0"/>
    <n v="0"/>
    <n v="771.22545744659783"/>
  </r>
  <r>
    <x v="3"/>
    <d v="2020-05-05T00:00:00"/>
    <d v="2020-05-25T00:00:00"/>
    <x v="12"/>
    <n v="9"/>
    <n v="7"/>
    <n v="771.63"/>
    <n v="846.24"/>
    <n v="5923.68"/>
    <n v="5401.41"/>
    <n v="522.27000000000044"/>
    <n v="17.587820212618897"/>
    <n v="539.85782021261934"/>
    <n v="0"/>
    <n v="0"/>
    <n v="0"/>
    <n v="539.85782021261934"/>
  </r>
  <r>
    <x v="4"/>
    <d v="2020-06-03T00:00:00"/>
    <d v="2020-06-24T00:00:00"/>
    <x v="12"/>
    <n v="9"/>
    <n v="13"/>
    <n v="771.63"/>
    <n v="846.24"/>
    <n v="11001.12"/>
    <n v="10031.19"/>
    <n v="969.93000000000029"/>
    <n v="32.663094680577956"/>
    <n v="1002.5930946805782"/>
    <n v="0"/>
    <n v="0"/>
    <n v="0"/>
    <n v="1002.5930946805782"/>
  </r>
  <r>
    <x v="5"/>
    <d v="2020-07-03T00:00:00"/>
    <d v="2020-07-24T00:00:00"/>
    <x v="12"/>
    <n v="9"/>
    <n v="12"/>
    <n v="771.63"/>
    <n v="846.24"/>
    <n v="10154.880000000001"/>
    <n v="9259.56"/>
    <n v="895.32000000000153"/>
    <n v="30.150548935918106"/>
    <n v="925.47054893591962"/>
    <n v="0"/>
    <n v="0"/>
    <n v="0"/>
    <n v="925.47054893591962"/>
  </r>
  <r>
    <x v="6"/>
    <d v="2020-08-05T00:00:00"/>
    <d v="2020-08-24T00:00:00"/>
    <x v="12"/>
    <n v="9"/>
    <n v="15"/>
    <n v="771.63"/>
    <n v="846.24"/>
    <n v="12693.6"/>
    <n v="11574.45"/>
    <n v="1119.1499999999996"/>
    <n v="37.688186169897641"/>
    <n v="1156.8381861698972"/>
    <n v="0"/>
    <n v="0"/>
    <n v="0"/>
    <n v="1156.8381861698972"/>
  </r>
  <r>
    <x v="7"/>
    <d v="2020-09-03T00:00:00"/>
    <d v="2020-09-24T00:00:00"/>
    <x v="12"/>
    <n v="9"/>
    <n v="12"/>
    <n v="771.63"/>
    <n v="846.24"/>
    <n v="10154.880000000001"/>
    <n v="9259.56"/>
    <n v="895.32000000000153"/>
    <n v="30.150548935918106"/>
    <n v="925.47054893591962"/>
    <n v="0"/>
    <n v="0"/>
    <n v="0"/>
    <n v="925.47054893591962"/>
  </r>
  <r>
    <x v="8"/>
    <d v="2020-10-05T00:00:00"/>
    <d v="2020-10-26T00:00:00"/>
    <x v="12"/>
    <n v="9"/>
    <n v="14"/>
    <n v="771.63"/>
    <n v="846.24"/>
    <n v="11847.36"/>
    <n v="10802.82"/>
    <n v="1044.5400000000009"/>
    <n v="35.175640425237795"/>
    <n v="1079.7156404252387"/>
    <n v="0"/>
    <n v="0"/>
    <n v="0"/>
    <n v="1079.7156404252387"/>
  </r>
  <r>
    <x v="9"/>
    <d v="2020-11-04T00:00:00"/>
    <d v="2020-11-24T00:00:00"/>
    <x v="12"/>
    <n v="9"/>
    <n v="11"/>
    <n v="771.63"/>
    <n v="846.24"/>
    <n v="9308.64"/>
    <n v="8487.93"/>
    <n v="820.70999999999913"/>
    <n v="27.638003191258267"/>
    <n v="848.34800319125736"/>
    <n v="0"/>
    <n v="0"/>
    <n v="0"/>
    <n v="848.34800319125736"/>
  </r>
  <r>
    <x v="10"/>
    <d v="2020-12-03T00:00:00"/>
    <d v="2020-12-24T00:00:00"/>
    <x v="12"/>
    <n v="9"/>
    <n v="9"/>
    <n v="771.63"/>
    <n v="846.24"/>
    <n v="7616.16"/>
    <n v="6944.67"/>
    <n v="671.48999999999978"/>
    <n v="22.612911701938582"/>
    <n v="694.10291170193841"/>
    <n v="0"/>
    <n v="0"/>
    <n v="0"/>
    <n v="694.10291170193841"/>
  </r>
  <r>
    <x v="11"/>
    <d v="2021-01-06T00:00:00"/>
    <d v="2021-01-25T00:00:00"/>
    <x v="12"/>
    <n v="9"/>
    <n v="8"/>
    <n v="771.63"/>
    <n v="846.24"/>
    <n v="6769.92"/>
    <n v="6173.04"/>
    <n v="596.88000000000011"/>
    <n v="20.10036595727874"/>
    <n v="616.98036595727888"/>
    <n v="0"/>
    <n v="0"/>
    <n v="0"/>
    <n v="616.98036595727888"/>
  </r>
  <r>
    <x v="0"/>
    <d v="2020-02-05T00:00:00"/>
    <d v="2020-02-24T00:00:00"/>
    <x v="13"/>
    <n v="9"/>
    <n v="20"/>
    <n v="771.63"/>
    <n v="846.24"/>
    <n v="16924.8"/>
    <n v="15432.6"/>
    <n v="1492.1999999999989"/>
    <n v="50.25091489319685"/>
    <n v="1542.4509148931957"/>
    <n v="0"/>
    <n v="0"/>
    <n v="0"/>
    <n v="1542.4509148931957"/>
  </r>
  <r>
    <x v="1"/>
    <d v="2020-03-04T00:00:00"/>
    <d v="2020-03-24T00:00:00"/>
    <x v="13"/>
    <n v="9"/>
    <n v="19"/>
    <n v="771.63"/>
    <n v="846.24"/>
    <n v="16078.56"/>
    <n v="14660.97"/>
    <n v="1417.5900000000001"/>
    <n v="47.738369148537011"/>
    <n v="1465.3283691485371"/>
    <n v="0"/>
    <n v="0"/>
    <n v="0"/>
    <n v="1465.3283691485371"/>
  </r>
  <r>
    <x v="2"/>
    <d v="2020-04-03T00:00:00"/>
    <d v="2020-04-24T00:00:00"/>
    <x v="13"/>
    <n v="9"/>
    <n v="19"/>
    <n v="771.63"/>
    <n v="846.24"/>
    <n v="16078.56"/>
    <n v="14660.97"/>
    <n v="1417.5900000000001"/>
    <n v="47.738369148537011"/>
    <n v="1465.3283691485371"/>
    <n v="0"/>
    <n v="0"/>
    <n v="0"/>
    <n v="1465.3283691485371"/>
  </r>
  <r>
    <x v="3"/>
    <d v="2020-05-05T00:00:00"/>
    <d v="2020-05-25T00:00:00"/>
    <x v="13"/>
    <n v="9"/>
    <n v="21"/>
    <n v="771.63"/>
    <n v="846.24"/>
    <n v="17771.04"/>
    <n v="16204.23"/>
    <n v="1566.8100000000013"/>
    <n v="52.763460637856689"/>
    <n v="1619.573460637858"/>
    <n v="0"/>
    <n v="0"/>
    <n v="0"/>
    <n v="1619.573460637858"/>
  </r>
  <r>
    <x v="4"/>
    <d v="2020-06-03T00:00:00"/>
    <d v="2020-06-24T00:00:00"/>
    <x v="13"/>
    <n v="9"/>
    <n v="23"/>
    <n v="771.63"/>
    <n v="846.24"/>
    <n v="19463.52"/>
    <n v="17747.490000000002"/>
    <n v="1716.0299999999988"/>
    <n v="57.788552127176374"/>
    <n v="1773.8185521271753"/>
    <n v="0"/>
    <n v="0"/>
    <n v="0"/>
    <n v="1773.8185521271753"/>
  </r>
  <r>
    <x v="5"/>
    <d v="2020-07-03T00:00:00"/>
    <d v="2020-07-24T00:00:00"/>
    <x v="13"/>
    <n v="9"/>
    <n v="29"/>
    <n v="771.63"/>
    <n v="846.24"/>
    <n v="24540.959999999999"/>
    <n v="22377.27"/>
    <n v="2163.6899999999987"/>
    <n v="72.863826595135436"/>
    <n v="2236.5538265951341"/>
    <n v="0"/>
    <n v="0"/>
    <n v="0"/>
    <n v="2236.5538265951341"/>
  </r>
  <r>
    <x v="6"/>
    <d v="2020-08-05T00:00:00"/>
    <d v="2020-08-24T00:00:00"/>
    <x v="13"/>
    <n v="9"/>
    <n v="33"/>
    <n v="771.63"/>
    <n v="846.24"/>
    <n v="27925.920000000002"/>
    <n v="25463.79"/>
    <n v="2462.130000000001"/>
    <n v="82.914009573774806"/>
    <n v="2545.0440095737758"/>
    <n v="0"/>
    <n v="0"/>
    <n v="0"/>
    <n v="2545.0440095737758"/>
  </r>
  <r>
    <x v="7"/>
    <d v="2020-09-03T00:00:00"/>
    <d v="2020-09-24T00:00:00"/>
    <x v="13"/>
    <n v="9"/>
    <n v="34"/>
    <n v="771.63"/>
    <n v="846.24"/>
    <n v="28772.16"/>
    <n v="26235.42"/>
    <n v="2536.7400000000016"/>
    <n v="85.426555318434652"/>
    <n v="2622.1665553184362"/>
    <n v="0"/>
    <n v="0"/>
    <n v="0"/>
    <n v="2622.1665553184362"/>
  </r>
  <r>
    <x v="8"/>
    <d v="2020-10-05T00:00:00"/>
    <d v="2020-10-26T00:00:00"/>
    <x v="13"/>
    <n v="9"/>
    <n v="30"/>
    <n v="771.63"/>
    <n v="846.24"/>
    <n v="25387.200000000001"/>
    <n v="23148.9"/>
    <n v="2238.2999999999993"/>
    <n v="75.376372339795282"/>
    <n v="2313.6763723397944"/>
    <n v="0"/>
    <n v="0"/>
    <n v="0"/>
    <n v="2313.6763723397944"/>
  </r>
  <r>
    <x v="9"/>
    <d v="2020-11-04T00:00:00"/>
    <d v="2020-11-24T00:00:00"/>
    <x v="13"/>
    <n v="9"/>
    <n v="21"/>
    <n v="771.63"/>
    <n v="846.24"/>
    <n v="17771.04"/>
    <n v="16204.23"/>
    <n v="1566.8100000000013"/>
    <n v="52.763460637856689"/>
    <n v="1619.573460637858"/>
    <n v="0"/>
    <n v="0"/>
    <n v="0"/>
    <n v="1619.573460637858"/>
  </r>
  <r>
    <x v="10"/>
    <d v="2020-12-03T00:00:00"/>
    <d v="2020-12-24T00:00:00"/>
    <x v="13"/>
    <n v="9"/>
    <n v="16"/>
    <n v="771.63"/>
    <n v="846.24"/>
    <n v="13539.84"/>
    <n v="12346.08"/>
    <n v="1193.7600000000002"/>
    <n v="40.20073191455748"/>
    <n v="1233.9607319145578"/>
    <n v="0"/>
    <n v="0"/>
    <n v="0"/>
    <n v="1233.9607319145578"/>
  </r>
  <r>
    <x v="11"/>
    <d v="2021-01-06T00:00:00"/>
    <d v="2021-01-25T00:00:00"/>
    <x v="13"/>
    <n v="9"/>
    <n v="19"/>
    <n v="771.63"/>
    <n v="846.24"/>
    <n v="16078.56"/>
    <n v="14660.97"/>
    <n v="1417.5900000000001"/>
    <n v="47.738369148537011"/>
    <n v="1465.3283691485371"/>
    <n v="0"/>
    <n v="0"/>
    <n v="0"/>
    <n v="1465.3283691485371"/>
  </r>
  <r>
    <x v="0"/>
    <d v="2020-02-05T00:00:00"/>
    <d v="2020-02-24T00:00:00"/>
    <x v="14"/>
    <n v="9"/>
    <n v="35"/>
    <n v="771.63"/>
    <n v="846.24"/>
    <n v="29618.400000000001"/>
    <n v="27007.05"/>
    <n v="2611.3500000000022"/>
    <n v="87.939101063094483"/>
    <n v="2699.2891010630965"/>
    <n v="0"/>
    <n v="0"/>
    <n v="0"/>
    <n v="2699.2891010630965"/>
  </r>
  <r>
    <x v="1"/>
    <d v="2020-03-04T00:00:00"/>
    <d v="2020-03-24T00:00:00"/>
    <x v="14"/>
    <n v="9"/>
    <n v="34"/>
    <n v="771.63"/>
    <n v="846.24"/>
    <n v="28772.16"/>
    <n v="26235.42"/>
    <n v="2536.7400000000016"/>
    <n v="85.426555318434652"/>
    <n v="2622.1665553184362"/>
    <n v="0"/>
    <n v="0"/>
    <n v="0"/>
    <n v="2622.1665553184362"/>
  </r>
  <r>
    <x v="2"/>
    <d v="2020-04-03T00:00:00"/>
    <d v="2020-04-24T00:00:00"/>
    <x v="14"/>
    <n v="9"/>
    <n v="30"/>
    <n v="771.63"/>
    <n v="846.24"/>
    <n v="25387.200000000001"/>
    <n v="23148.9"/>
    <n v="2238.2999999999993"/>
    <n v="75.376372339795282"/>
    <n v="2313.6763723397944"/>
    <n v="0"/>
    <n v="0"/>
    <n v="0"/>
    <n v="2313.6763723397944"/>
  </r>
  <r>
    <x v="3"/>
    <d v="2020-05-05T00:00:00"/>
    <d v="2020-05-25T00:00:00"/>
    <x v="14"/>
    <n v="9"/>
    <n v="32"/>
    <n v="771.63"/>
    <n v="846.24"/>
    <n v="27079.68"/>
    <n v="24692.16"/>
    <n v="2387.5200000000004"/>
    <n v="80.401463829114959"/>
    <n v="2467.9214638291155"/>
    <n v="0"/>
    <n v="0"/>
    <n v="0"/>
    <n v="2467.9214638291155"/>
  </r>
  <r>
    <x v="4"/>
    <d v="2020-06-03T00:00:00"/>
    <d v="2020-06-24T00:00:00"/>
    <x v="14"/>
    <n v="9"/>
    <n v="36"/>
    <n v="771.63"/>
    <n v="846.24"/>
    <n v="30464.639999999999"/>
    <n v="27778.68"/>
    <n v="2685.9599999999991"/>
    <n v="90.451646807754329"/>
    <n v="2776.4116468077536"/>
    <n v="0"/>
    <n v="0"/>
    <n v="0"/>
    <n v="2776.4116468077536"/>
  </r>
  <r>
    <x v="5"/>
    <d v="2020-07-03T00:00:00"/>
    <d v="2020-07-24T00:00:00"/>
    <x v="14"/>
    <n v="9"/>
    <n v="42"/>
    <n v="771.63"/>
    <n v="846.24"/>
    <n v="35542.080000000002"/>
    <n v="32408.46"/>
    <n v="3133.6200000000026"/>
    <n v="105.52692127571338"/>
    <n v="3239.1469212757161"/>
    <n v="0"/>
    <n v="0"/>
    <n v="0"/>
    <n v="3239.1469212757161"/>
  </r>
  <r>
    <x v="6"/>
    <d v="2020-08-05T00:00:00"/>
    <d v="2020-08-24T00:00:00"/>
    <x v="14"/>
    <n v="9"/>
    <n v="47"/>
    <n v="771.63"/>
    <n v="846.24"/>
    <n v="39773.279999999999"/>
    <n v="36266.61"/>
    <n v="3506.6699999999983"/>
    <n v="118.08964999901261"/>
    <n v="3624.7596499990109"/>
    <n v="0"/>
    <n v="0"/>
    <n v="0"/>
    <n v="3624.7596499990109"/>
  </r>
  <r>
    <x v="7"/>
    <d v="2020-09-03T00:00:00"/>
    <d v="2020-09-24T00:00:00"/>
    <x v="14"/>
    <n v="9"/>
    <n v="48"/>
    <n v="771.63"/>
    <n v="846.24"/>
    <n v="40619.520000000004"/>
    <n v="37038.239999999998"/>
    <n v="3581.2800000000061"/>
    <n v="120.60219574367243"/>
    <n v="3701.8821957436785"/>
    <n v="0"/>
    <n v="0"/>
    <n v="0"/>
    <n v="3701.8821957436785"/>
  </r>
  <r>
    <x v="8"/>
    <d v="2020-10-05T00:00:00"/>
    <d v="2020-10-26T00:00:00"/>
    <x v="14"/>
    <n v="9"/>
    <n v="44"/>
    <n v="771.63"/>
    <n v="846.24"/>
    <n v="37234.559999999998"/>
    <n v="33951.72"/>
    <n v="3282.8399999999965"/>
    <n v="110.55201276503307"/>
    <n v="3393.3920127650294"/>
    <n v="0"/>
    <n v="0"/>
    <n v="0"/>
    <n v="3393.3920127650294"/>
  </r>
  <r>
    <x v="9"/>
    <d v="2020-11-04T00:00:00"/>
    <d v="2020-11-24T00:00:00"/>
    <x v="14"/>
    <n v="9"/>
    <n v="30"/>
    <n v="771.63"/>
    <n v="846.24"/>
    <n v="25387.200000000001"/>
    <n v="23148.9"/>
    <n v="2238.2999999999993"/>
    <n v="75.376372339795282"/>
    <n v="2313.6763723397944"/>
    <n v="0"/>
    <n v="0"/>
    <n v="0"/>
    <n v="2313.6763723397944"/>
  </r>
  <r>
    <x v="10"/>
    <d v="2020-12-03T00:00:00"/>
    <d v="2020-12-24T00:00:00"/>
    <x v="14"/>
    <n v="9"/>
    <n v="31"/>
    <n v="771.63"/>
    <n v="846.24"/>
    <n v="26233.439999999999"/>
    <n v="23920.53"/>
    <n v="2312.91"/>
    <n v="77.888918084455113"/>
    <n v="2390.7989180844552"/>
    <n v="0"/>
    <n v="0"/>
    <n v="0"/>
    <n v="2390.7989180844552"/>
  </r>
  <r>
    <x v="11"/>
    <d v="2021-01-06T00:00:00"/>
    <d v="2021-01-25T00:00:00"/>
    <x v="14"/>
    <n v="9"/>
    <n v="34"/>
    <n v="771.63"/>
    <n v="846.24"/>
    <n v="28772.16"/>
    <n v="26235.42"/>
    <n v="2536.7400000000016"/>
    <n v="85.426555318434652"/>
    <n v="2622.1665553184362"/>
    <n v="0"/>
    <n v="0"/>
    <n v="0"/>
    <n v="2622.1665553184362"/>
  </r>
  <r>
    <x v="0"/>
    <d v="2020-02-05T00:00:00"/>
    <d v="2020-02-24T00:00:00"/>
    <x v="15"/>
    <n v="9"/>
    <n v="106"/>
    <n v="771.63"/>
    <n v="846.24"/>
    <n v="89701.440000000002"/>
    <n v="81792.78"/>
    <n v="7908.6600000000035"/>
    <n v="266.32984893394331"/>
    <n v="8174.9898489339466"/>
    <n v="0"/>
    <n v="0"/>
    <n v="0"/>
    <n v="8174.9898489339466"/>
  </r>
  <r>
    <x v="1"/>
    <d v="2020-03-04T00:00:00"/>
    <d v="2020-03-24T00:00:00"/>
    <x v="15"/>
    <n v="9"/>
    <n v="103"/>
    <n v="771.63"/>
    <n v="846.24"/>
    <n v="87162.72"/>
    <n v="79477.89"/>
    <n v="7684.8300000000017"/>
    <n v="258.79221169996379"/>
    <n v="7943.6222116999652"/>
    <n v="0"/>
    <n v="0"/>
    <n v="0"/>
    <n v="7943.6222116999652"/>
  </r>
  <r>
    <x v="2"/>
    <d v="2020-04-03T00:00:00"/>
    <d v="2020-04-24T00:00:00"/>
    <x v="15"/>
    <n v="9"/>
    <n v="26"/>
    <n v="771.63"/>
    <n v="846.24"/>
    <n v="22002.240000000002"/>
    <n v="20062.38"/>
    <n v="1939.8600000000006"/>
    <n v="65.326189361155912"/>
    <n v="2005.1861893611565"/>
    <n v="0"/>
    <n v="0"/>
    <n v="0"/>
    <n v="2005.1861893611565"/>
  </r>
  <r>
    <x v="3"/>
    <d v="2020-05-05T00:00:00"/>
    <d v="2020-05-25T00:00:00"/>
    <x v="15"/>
    <n v="9"/>
    <n v="97"/>
    <n v="771.63"/>
    <n v="846.24"/>
    <n v="82085.279999999999"/>
    <n v="74848.11"/>
    <n v="7237.1699999999983"/>
    <n v="243.71693723200471"/>
    <n v="7480.8869372320032"/>
    <n v="0"/>
    <n v="0"/>
    <n v="0"/>
    <n v="7480.8869372320032"/>
  </r>
  <r>
    <x v="4"/>
    <d v="2020-06-03T00:00:00"/>
    <d v="2020-06-24T00:00:00"/>
    <x v="15"/>
    <n v="9"/>
    <n v="80"/>
    <n v="771.63"/>
    <n v="846.24"/>
    <n v="67699.199999999997"/>
    <n v="61730.400000000001"/>
    <n v="5968.7999999999956"/>
    <n v="201.0036595727874"/>
    <n v="6169.8036595727826"/>
    <n v="0"/>
    <n v="0"/>
    <n v="0"/>
    <n v="6169.8036595727826"/>
  </r>
  <r>
    <x v="5"/>
    <d v="2020-07-03T00:00:00"/>
    <d v="2020-07-24T00:00:00"/>
    <x v="15"/>
    <n v="9"/>
    <n v="99"/>
    <n v="771.63"/>
    <n v="846.24"/>
    <n v="83777.759999999995"/>
    <n v="76391.37"/>
    <n v="7386.3899999999994"/>
    <n v="248.7420287213244"/>
    <n v="7635.1320287213239"/>
    <n v="0"/>
    <n v="0"/>
    <n v="0"/>
    <n v="7635.1320287213239"/>
  </r>
  <r>
    <x v="6"/>
    <d v="2020-08-05T00:00:00"/>
    <d v="2020-08-24T00:00:00"/>
    <x v="15"/>
    <n v="9"/>
    <n v="111"/>
    <n v="771.63"/>
    <n v="846.24"/>
    <n v="93932.64"/>
    <n v="85650.93"/>
    <n v="8281.7100000000064"/>
    <n v="278.8925776572425"/>
    <n v="8560.6025776572496"/>
    <n v="0"/>
    <n v="0"/>
    <n v="0"/>
    <n v="8560.6025776572496"/>
  </r>
  <r>
    <x v="7"/>
    <d v="2020-09-03T00:00:00"/>
    <d v="2020-09-24T00:00:00"/>
    <x v="15"/>
    <n v="9"/>
    <n v="112"/>
    <n v="771.63"/>
    <n v="846.24"/>
    <n v="94778.880000000005"/>
    <n v="86422.56"/>
    <n v="8356.320000000007"/>
    <n v="281.40512340190236"/>
    <n v="8637.7251234019095"/>
    <n v="0"/>
    <n v="0"/>
    <n v="0"/>
    <n v="8637.7251234019095"/>
  </r>
  <r>
    <x v="8"/>
    <d v="2020-10-05T00:00:00"/>
    <d v="2020-10-26T00:00:00"/>
    <x v="15"/>
    <n v="9"/>
    <n v="114"/>
    <n v="771.63"/>
    <n v="846.24"/>
    <n v="96471.360000000001"/>
    <n v="87965.819999999992"/>
    <n v="8505.5400000000081"/>
    <n v="286.43021489122202"/>
    <n v="8791.9702148912293"/>
    <n v="0"/>
    <n v="0"/>
    <n v="0"/>
    <n v="8791.9702148912293"/>
  </r>
  <r>
    <x v="9"/>
    <d v="2020-11-04T00:00:00"/>
    <d v="2020-11-24T00:00:00"/>
    <x v="15"/>
    <n v="9"/>
    <n v="96"/>
    <n v="771.63"/>
    <n v="846.24"/>
    <n v="81239.040000000008"/>
    <n v="74076.479999999996"/>
    <n v="7162.5600000000122"/>
    <n v="241.20439148734485"/>
    <n v="7403.764391487357"/>
    <n v="0"/>
    <n v="0"/>
    <n v="0"/>
    <n v="7403.764391487357"/>
  </r>
  <r>
    <x v="10"/>
    <d v="2020-12-03T00:00:00"/>
    <d v="2020-12-24T00:00:00"/>
    <x v="15"/>
    <n v="9"/>
    <n v="100"/>
    <n v="771.63"/>
    <n v="846.24"/>
    <n v="84624"/>
    <n v="77163"/>
    <n v="7461"/>
    <n v="251.25457446598423"/>
    <n v="7712.2545744659847"/>
    <n v="0"/>
    <n v="0"/>
    <n v="0"/>
    <n v="7712.2545744659847"/>
  </r>
  <r>
    <x v="11"/>
    <d v="2021-01-06T00:00:00"/>
    <d v="2021-01-25T00:00:00"/>
    <x v="15"/>
    <n v="9"/>
    <n v="105"/>
    <n v="771.63"/>
    <n v="846.24"/>
    <n v="88855.2"/>
    <n v="81021.149999999994"/>
    <n v="7834.0500000000029"/>
    <n v="263.81730318928345"/>
    <n v="8097.8673031892868"/>
    <n v="0"/>
    <n v="0"/>
    <n v="0"/>
    <n v="8097.86730318928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19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tabSelected="1" zoomScale="85" zoomScaleNormal="85" zoomScaleSheetLayoutView="100" workbookViewId="0">
      <selection activeCell="C7" sqref="C7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0" t="str">
        <f>+Transactions!B1</f>
        <v>AEPTCo Formula Rate -- FERC Docket ER18-195</v>
      </c>
      <c r="D1" s="250"/>
      <c r="E1" s="250"/>
      <c r="F1" s="250"/>
      <c r="G1" s="250"/>
      <c r="H1" s="250"/>
      <c r="I1" s="250"/>
      <c r="L1" s="6">
        <v>2020</v>
      </c>
    </row>
    <row r="2" spans="2:19" ht="13" x14ac:dyDescent="0.3">
      <c r="C2" s="250" t="s">
        <v>36</v>
      </c>
      <c r="D2" s="250"/>
      <c r="E2" s="250"/>
      <c r="F2" s="250"/>
      <c r="G2" s="250"/>
      <c r="H2" s="250"/>
      <c r="I2" s="250"/>
    </row>
    <row r="3" spans="2:19" ht="13" x14ac:dyDescent="0.3">
      <c r="C3" s="250" t="str">
        <f>"for period 01/01/"&amp;F8&amp;" - 12/31/"&amp;F8</f>
        <v>for period 01/01/2020 - 12/31/2020</v>
      </c>
      <c r="D3" s="250"/>
      <c r="E3" s="250"/>
      <c r="F3" s="250"/>
      <c r="G3" s="250"/>
      <c r="H3" s="250"/>
      <c r="I3" s="250"/>
    </row>
    <row r="4" spans="2:19" ht="13" x14ac:dyDescent="0.3">
      <c r="C4" s="250" t="s">
        <v>94</v>
      </c>
      <c r="D4" s="250"/>
      <c r="E4" s="250"/>
      <c r="F4" s="250"/>
      <c r="G4" s="250"/>
      <c r="H4" s="250"/>
      <c r="I4" s="250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93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77289974.550092295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80296830.896017864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771.63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846.24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50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100</v>
      </c>
      <c r="G20" s="62" t="s">
        <v>101</v>
      </c>
      <c r="H20" s="62" t="s">
        <v>103</v>
      </c>
      <c r="I20" s="60" t="s">
        <v>102</v>
      </c>
      <c r="J20" s="63" t="s">
        <v>104</v>
      </c>
      <c r="K20" s="64" t="s">
        <v>97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7140573.1200000001</v>
      </c>
      <c r="E21" s="67">
        <f>GETPIVOTDATA("Sum of "&amp;T(Transactions!$K$19),Pivot!$A$3,"Customer",C21)</f>
        <v>6511013.9400000004</v>
      </c>
      <c r="F21" s="67">
        <f>D21-E21</f>
        <v>629559.1799999997</v>
      </c>
      <c r="G21" s="53">
        <f>+GETPIVOTDATA("Sum of "&amp;T(Transactions!$M$19),Pivot!$A$3,"Customer","AECC")</f>
        <v>21200.86099343975</v>
      </c>
      <c r="H21" s="53">
        <f>GETPIVOTDATA("Sum of "&amp;T(Transactions!$Q$19),Pivot!$A$3,"Customer","AECC")</f>
        <v>0</v>
      </c>
      <c r="I21" s="68">
        <f>F21+G21-H21</f>
        <v>650760.0409934395</v>
      </c>
      <c r="J21" s="69">
        <v>0</v>
      </c>
      <c r="K21" s="70">
        <f>I21+J21</f>
        <v>650760.0409934395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83</v>
      </c>
      <c r="D22" s="67">
        <f>GETPIVOTDATA("Sum of "&amp;T(Transactions!$J$19),Pivot!$A$3,"Customer",C22)</f>
        <v>368960.64</v>
      </c>
      <c r="E22" s="67">
        <f>GETPIVOTDATA("Sum of "&amp;T(Transactions!$K$19),Pivot!$A$3,"Customer",C22)</f>
        <v>336430.68</v>
      </c>
      <c r="F22" s="67">
        <f>D22-E22</f>
        <v>32529.960000000021</v>
      </c>
      <c r="G22" s="53">
        <f>+GETPIVOTDATA("Sum of "&amp;T(Transactions!$M$19),Pivot!$A$3,"Customer","AECI")</f>
        <v>1095.4699446716913</v>
      </c>
      <c r="H22" s="53">
        <f>GETPIVOTDATA("Sum of "&amp;T(Transactions!$Q$19),Pivot!$A$3,"Customer",C22)</f>
        <v>0</v>
      </c>
      <c r="I22" s="68">
        <f t="shared" ref="I22:I33" si="0">F22+G22-H22</f>
        <v>33625.429944671712</v>
      </c>
      <c r="J22" s="69">
        <v>0</v>
      </c>
      <c r="K22" s="70">
        <f t="shared" ref="K22:K39" si="1">I22+J22</f>
        <v>33625.429944671712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54</v>
      </c>
      <c r="D23" s="67">
        <f>GETPIVOTDATA("Sum of "&amp;T(Transactions!$J$19),Pivot!$A$3,"Customer",C23)</f>
        <v>1154271.3600000001</v>
      </c>
      <c r="E23" s="67">
        <f>GETPIVOTDATA("Sum of "&amp;T(Transactions!$K$19),Pivot!$A$3,"Customer",C23)</f>
        <v>1052503.3199999998</v>
      </c>
      <c r="F23" s="67">
        <f t="shared" ref="F23:F35" si="2">D23-E23</f>
        <v>101768.04000000027</v>
      </c>
      <c r="G23" s="53">
        <f>+GETPIVOTDATA("Sum of "&amp;T(Transactions!$M$19),Pivot!$A$3,"Customer","Bentonville, AR")</f>
        <v>3427.1123957160253</v>
      </c>
      <c r="H23" s="53">
        <f>GETPIVOTDATA("Sum of "&amp;T(Transactions!$Q$19),Pivot!$A$3,"Customer",C23)</f>
        <v>0</v>
      </c>
      <c r="I23" s="68">
        <f t="shared" si="0"/>
        <v>105195.1523957163</v>
      </c>
      <c r="J23" s="69">
        <v>0</v>
      </c>
      <c r="K23" s="70">
        <f t="shared" si="1"/>
        <v>105195.1523957163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972329.76</v>
      </c>
      <c r="E24" s="67">
        <f>GETPIVOTDATA("Sum of "&amp;T(Transactions!$K$19),Pivot!$A$3,"Customer",C24)</f>
        <v>886602.86999999988</v>
      </c>
      <c r="F24" s="67">
        <f t="shared" si="2"/>
        <v>85726.89000000013</v>
      </c>
      <c r="G24" s="53">
        <f>+GETPIVOTDATA("Sum of "&amp;T(Transactions!$M$19),Pivot!$A$3,"Customer","Coffeyville, KS")</f>
        <v>2886.9150606141588</v>
      </c>
      <c r="H24" s="53">
        <f>GETPIVOTDATA("Sum of "&amp;T(Transactions!$Q$19),Pivot!$A$3,"Customer",C24)</f>
        <v>0</v>
      </c>
      <c r="I24" s="68">
        <f t="shared" si="0"/>
        <v>88613.805060614293</v>
      </c>
      <c r="J24" s="69">
        <v>0</v>
      </c>
      <c r="K24" s="70">
        <f t="shared" si="1"/>
        <v>88613.805060614293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8256763.6800000006</v>
      </c>
      <c r="E25" s="67">
        <f>GETPIVOTDATA("Sum of "&amp;T(Transactions!$K$19),Pivot!$A$3,"Customer",C25)</f>
        <v>7528793.9100000001</v>
      </c>
      <c r="F25" s="67">
        <f t="shared" si="2"/>
        <v>727969.77000000048</v>
      </c>
      <c r="G25" s="53">
        <f>+GETPIVOTDATA("Sum of "&amp;T(Transactions!$M$19),Pivot!$A$3,"Customer","ETEC")</f>
        <v>24514.908830646084</v>
      </c>
      <c r="H25" s="53">
        <f>GETPIVOTDATA("Sum of "&amp;T(Transactions!$Q$19),Pivot!$A$3,"Customer",C25)</f>
        <v>0</v>
      </c>
      <c r="I25" s="68">
        <f t="shared" si="0"/>
        <v>752484.67883064656</v>
      </c>
      <c r="J25" s="69">
        <v>0</v>
      </c>
      <c r="K25" s="70">
        <f t="shared" si="1"/>
        <v>752484.67883064656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89701.440000000017</v>
      </c>
      <c r="E26" s="67">
        <f>GETPIVOTDATA("Sum of "&amp;T(Transactions!$K$19),Pivot!$A$3,"Customer",C26)</f>
        <v>81792.78</v>
      </c>
      <c r="F26" s="67">
        <f t="shared" si="2"/>
        <v>7908.660000000018</v>
      </c>
      <c r="G26" s="53">
        <f>+GETPIVOTDATA("Sum of "&amp;T(Transactions!$M$19),Pivot!$A$3,"Customer","Greenbelt")</f>
        <v>266.32984893394325</v>
      </c>
      <c r="H26" s="53">
        <f>GETPIVOTDATA("Sum of "&amp;T(Transactions!$Q$19),Pivot!$A$3,"Customer",C26)</f>
        <v>0</v>
      </c>
      <c r="I26" s="68">
        <f t="shared" si="0"/>
        <v>8174.9898489339612</v>
      </c>
      <c r="J26" s="69">
        <v>0</v>
      </c>
      <c r="K26" s="70">
        <f t="shared" si="1"/>
        <v>8174.9898489339612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57</v>
      </c>
      <c r="D27" s="67">
        <f>GETPIVOTDATA("Sum of "&amp;T(Transactions!$J$19),Pivot!$A$3,"Customer",C27)</f>
        <v>374884.32</v>
      </c>
      <c r="E27" s="67">
        <f>GETPIVOTDATA("Sum of "&amp;T(Transactions!$K$19),Pivot!$A$3,"Customer",C27)</f>
        <v>341832.09</v>
      </c>
      <c r="F27" s="67">
        <f t="shared" si="2"/>
        <v>33052.229999999981</v>
      </c>
      <c r="G27" s="53">
        <f>+GETPIVOTDATA("Sum of "&amp;T(Transactions!$M$19),Pivot!$A$3,"Customer","Hope, AR")</f>
        <v>1113.05776488431</v>
      </c>
      <c r="H27" s="53">
        <f>GETPIVOTDATA("Sum of "&amp;T(Transactions!$Q$19),Pivot!$A$3,"Customer",C27)</f>
        <v>0</v>
      </c>
      <c r="I27" s="68">
        <f t="shared" si="0"/>
        <v>34165.287764884291</v>
      </c>
      <c r="J27" s="69">
        <v>0</v>
      </c>
      <c r="K27" s="70">
        <f t="shared" si="1"/>
        <v>34165.287764884291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27079.680000000008</v>
      </c>
      <c r="E28" s="67">
        <f>GETPIVOTDATA("Sum of "&amp;T(Transactions!$K$19),Pivot!$A$3,"Customer",C28)</f>
        <v>24692.16</v>
      </c>
      <c r="F28" s="67">
        <f t="shared" si="2"/>
        <v>2387.5200000000077</v>
      </c>
      <c r="G28" s="53">
        <f>+GETPIVOTDATA("Sum of "&amp;T(Transactions!$M$19),Pivot!$A$3,"Customer","Lighthouse")</f>
        <v>80.401463829114959</v>
      </c>
      <c r="H28" s="53">
        <f>GETPIVOTDATA("Sum of "&amp;T(Transactions!$Q$19),Pivot!$A$3,"Customer",C28)</f>
        <v>0</v>
      </c>
      <c r="I28" s="68">
        <f t="shared" si="0"/>
        <v>2467.9214638291228</v>
      </c>
      <c r="J28" s="69">
        <v>0</v>
      </c>
      <c r="K28" s="70">
        <f t="shared" si="1"/>
        <v>2467.9214638291228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56</v>
      </c>
      <c r="D29" s="67">
        <f>GETPIVOTDATA("Sum of "&amp;T(Transactions!$J$19),Pivot!$A$3,"Customer",C29)</f>
        <v>240332.16000000003</v>
      </c>
      <c r="E29" s="67">
        <f>GETPIVOTDATA("Sum of "&amp;T(Transactions!$K$19),Pivot!$A$3,"Customer",C29)</f>
        <v>219142.91999999998</v>
      </c>
      <c r="F29" s="67">
        <f t="shared" si="2"/>
        <v>21189.240000000049</v>
      </c>
      <c r="G29" s="53">
        <f>+GETPIVOTDATA("Sum of "&amp;T(Transactions!$M$19),Pivot!$A$3,"Customer","Minden, LA")</f>
        <v>713.56299148339531</v>
      </c>
      <c r="H29" s="53">
        <f>GETPIVOTDATA("Sum of "&amp;T(Transactions!$Q$19),Pivot!$A$3,"Customer",C29)</f>
        <v>0</v>
      </c>
      <c r="I29" s="68">
        <f t="shared" si="0"/>
        <v>21902.802991483444</v>
      </c>
      <c r="J29" s="69">
        <v>0</v>
      </c>
      <c r="K29" s="70">
        <f t="shared" si="1"/>
        <v>21902.802991483444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398579.04000000004</v>
      </c>
      <c r="E30" s="67">
        <f>GETPIVOTDATA("Sum of "&amp;T(Transactions!$K$19),Pivot!$A$3,"Customer",C30)</f>
        <v>363437.73</v>
      </c>
      <c r="F30" s="67">
        <f t="shared" si="2"/>
        <v>35141.310000000056</v>
      </c>
      <c r="G30" s="53">
        <f>+GETPIVOTDATA("Sum of "&amp;T(Transactions!$M$19),Pivot!$A$3,"Customer","OG&amp;E")</f>
        <v>1183.4090457347856</v>
      </c>
      <c r="H30" s="53">
        <f>GETPIVOTDATA("Sum of "&amp;T(Transactions!$Q$19),Pivot!$A$3,"Customer",C30)</f>
        <v>0</v>
      </c>
      <c r="I30" s="68">
        <f t="shared" si="0"/>
        <v>36324.719045734841</v>
      </c>
      <c r="J30" s="69">
        <v>0</v>
      </c>
      <c r="K30" s="70">
        <f t="shared" si="1"/>
        <v>36324.719045734841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1029874.08</v>
      </c>
      <c r="E31" s="67">
        <f>GETPIVOTDATA("Sum of "&amp;T(Transactions!$K$19),Pivot!$A$3,"Customer",C31)</f>
        <v>939073.71</v>
      </c>
      <c r="F31" s="67">
        <f t="shared" si="2"/>
        <v>90800.37</v>
      </c>
      <c r="G31" s="53">
        <f>+GETPIVOTDATA("Sum of "&amp;T(Transactions!$M$19),Pivot!$A$3,"Customer","OMPA")</f>
        <v>3057.768171251028</v>
      </c>
      <c r="H31" s="53">
        <f>GETPIVOTDATA("Sum of "&amp;T(Transactions!$Q$19),Pivot!$A$3,"Customer",C31)</f>
        <v>0</v>
      </c>
      <c r="I31" s="68">
        <f t="shared" si="0"/>
        <v>93858.138171251019</v>
      </c>
      <c r="J31" s="69">
        <v>0</v>
      </c>
      <c r="K31" s="70">
        <f t="shared" si="1"/>
        <v>93858.138171251019</v>
      </c>
      <c r="L31" s="65"/>
    </row>
    <row r="32" spans="2:19" x14ac:dyDescent="0.25">
      <c r="B32" s="65"/>
      <c r="C32" s="66" t="s">
        <v>55</v>
      </c>
      <c r="D32" s="67">
        <f>GETPIVOTDATA("Sum of "&amp;T(Transactions!$J$19),Pivot!$A$3,"Customer",C32)</f>
        <v>111703.68000000002</v>
      </c>
      <c r="E32" s="67">
        <f>GETPIVOTDATA("Sum of "&amp;T(Transactions!$K$19),Pivot!$A$3,"Customer",C32)</f>
        <v>101855.15999999997</v>
      </c>
      <c r="F32" s="67">
        <f t="shared" si="2"/>
        <v>9848.5200000000477</v>
      </c>
      <c r="G32" s="53">
        <f>+GETPIVOTDATA("Sum of "&amp;T(Transactions!$M$19),Pivot!$A$3,"Customer","Prescott, AR")</f>
        <v>331.65603829509917</v>
      </c>
      <c r="H32" s="53">
        <f>GETPIVOTDATA("Sum of "&amp;T(Transactions!$Q$19),Pivot!$A$3,"Customer",C32)</f>
        <v>0</v>
      </c>
      <c r="I32" s="68">
        <f t="shared" si="0"/>
        <v>10180.176038295147</v>
      </c>
      <c r="J32" s="69">
        <v>0</v>
      </c>
      <c r="K32" s="70">
        <f t="shared" si="1"/>
        <v>10180.176038295147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362190.72</v>
      </c>
      <c r="E33" s="67">
        <f>GETPIVOTDATA("Sum of "&amp;T(Transactions!$K$19),Pivot!$A$3,"Customer",C33)</f>
        <v>330257.64</v>
      </c>
      <c r="F33" s="67">
        <f t="shared" si="2"/>
        <v>31933.079999999958</v>
      </c>
      <c r="G33" s="53">
        <f>+GETPIVOTDATA("Sum of "&amp;T(Transactions!$M$19),Pivot!$A$3,"Customer","WFEC")</f>
        <v>1075.3695787144125</v>
      </c>
      <c r="H33" s="53">
        <f>GETPIVOTDATA("Sum of "&amp;T(Transactions!$Q$19),Pivot!$A$3,"Customer",C33)</f>
        <v>0</v>
      </c>
      <c r="I33" s="68">
        <f t="shared" si="0"/>
        <v>33008.449578714368</v>
      </c>
      <c r="J33" s="69">
        <v>0</v>
      </c>
      <c r="K33" s="70">
        <f t="shared" si="1"/>
        <v>33008.449578714368</v>
      </c>
      <c r="L33" s="65"/>
    </row>
    <row r="34" spans="2:13" ht="23" x14ac:dyDescent="0.25">
      <c r="C34" s="74" t="s">
        <v>43</v>
      </c>
      <c r="D34" s="75">
        <f t="shared" ref="D34:J34" si="3">SUM(D21:D33)</f>
        <v>20527243.679999996</v>
      </c>
      <c r="E34" s="75">
        <f t="shared" si="3"/>
        <v>18717428.91</v>
      </c>
      <c r="F34" s="75">
        <f t="shared" si="3"/>
        <v>1809814.7700000005</v>
      </c>
      <c r="G34" s="76">
        <f t="shared" si="3"/>
        <v>60946.822128213797</v>
      </c>
      <c r="H34" s="76">
        <f t="shared" si="3"/>
        <v>0</v>
      </c>
      <c r="I34" s="77">
        <f t="shared" si="3"/>
        <v>1870761.5921282142</v>
      </c>
      <c r="J34" s="78">
        <f t="shared" si="3"/>
        <v>0</v>
      </c>
      <c r="K34" s="79">
        <f t="shared" si="1"/>
        <v>1870761.5921282142</v>
      </c>
    </row>
    <row r="35" spans="2:13" x14ac:dyDescent="0.25">
      <c r="C35" s="80" t="s">
        <v>21</v>
      </c>
      <c r="D35" s="67">
        <f>GETPIVOTDATA("Sum of "&amp;T(Transactions!$J$19),Pivot!$A$3,"Customer",C35)</f>
        <v>29884119.360000003</v>
      </c>
      <c r="E35" s="67">
        <f>GETPIVOTDATA("Sum of "&amp;T(Transactions!$K$19),Pivot!$A$3,"Customer",C35)</f>
        <v>27249341.82</v>
      </c>
      <c r="F35" s="67">
        <f t="shared" si="2"/>
        <v>2634777.5400000028</v>
      </c>
      <c r="G35" s="53">
        <f>+GETPIVOTDATA("Sum of "&amp;T(Transactions!$M$19),Pivot!$A$3,"Customer","PSO")</f>
        <v>88728.04042691768</v>
      </c>
      <c r="H35" s="53">
        <f>GETPIVOTDATA("Sum of "&amp;T(Transactions!$Q$19),Pivot!$A$3,"Customer",C35)</f>
        <v>0</v>
      </c>
      <c r="I35" s="68">
        <f>F35+G35-H35</f>
        <v>2723505.5804269207</v>
      </c>
      <c r="J35" s="69">
        <v>0</v>
      </c>
      <c r="K35" s="70">
        <f t="shared" si="1"/>
        <v>2723505.5804269207</v>
      </c>
    </row>
    <row r="36" spans="2:13" x14ac:dyDescent="0.25">
      <c r="C36" s="81" t="s">
        <v>22</v>
      </c>
      <c r="D36" s="67">
        <f>GETPIVOTDATA("Sum of "&amp;T(Transactions!$J$19),Pivot!$A$3,"Customer",C36)</f>
        <v>28666380</v>
      </c>
      <c r="E36" s="67">
        <f>GETPIVOTDATA("Sum of "&amp;T(Transactions!$K$19),Pivot!$A$3,"Customer",C36)</f>
        <v>26138966.25</v>
      </c>
      <c r="F36" s="67">
        <f>D36-E36</f>
        <v>2527413.75</v>
      </c>
      <c r="G36" s="53">
        <f>+GETPIVOTDATA("Sum of "&amp;T(Transactions!$M$19),Pivot!$A$3,"Customer","SWEPCO")</f>
        <v>85112.487100352155</v>
      </c>
      <c r="H36" s="53">
        <f>GETPIVOTDATA("Sum of "&amp;T(Transactions!$Q$19),Pivot!$A$3,"Customer",C36)</f>
        <v>0</v>
      </c>
      <c r="I36" s="68">
        <f>F36+G36-H36</f>
        <v>2612526.2371003521</v>
      </c>
      <c r="J36" s="69">
        <v>0</v>
      </c>
      <c r="K36" s="70">
        <f t="shared" si="1"/>
        <v>2612526.2371003521</v>
      </c>
    </row>
    <row r="37" spans="2:13" x14ac:dyDescent="0.25">
      <c r="C37" s="82" t="s">
        <v>81</v>
      </c>
      <c r="D37" s="67">
        <f>GETPIVOTDATA("Sum of "&amp;T(Transactions!$J$19),Pivot!$A$3,"Customer",C37)</f>
        <v>1219431.8400000001</v>
      </c>
      <c r="E37" s="67">
        <f>GETPIVOTDATA("Sum of "&amp;T(Transactions!$K$19),Pivot!$A$3,"Customer",C37)</f>
        <v>1111918.83</v>
      </c>
      <c r="F37" s="67">
        <f>D37-E37</f>
        <v>107513.01000000001</v>
      </c>
      <c r="G37" s="53">
        <f>+GETPIVOTDATA("Sum of "&amp;T(Transactions!$M$19),Pivot!$A$3,"Customer","SWEPCO-Valley")</f>
        <v>3620.578418054833</v>
      </c>
      <c r="H37" s="53">
        <f>GETPIVOTDATA("Sum of "&amp;T(Transactions!$Q$19),Pivot!$A$3,"Customer",C37)</f>
        <v>0</v>
      </c>
      <c r="I37" s="68">
        <f>F37+G37-H37</f>
        <v>111133.58841805485</v>
      </c>
      <c r="J37" s="69">
        <v>0</v>
      </c>
      <c r="K37" s="70">
        <f t="shared" si="1"/>
        <v>111133.58841805485</v>
      </c>
    </row>
    <row r="38" spans="2:13" ht="23" x14ac:dyDescent="0.25">
      <c r="C38" s="83" t="s">
        <v>51</v>
      </c>
      <c r="D38" s="84">
        <f t="shared" ref="D38:I38" si="4">SUM(D35:D37)</f>
        <v>59769931.200000003</v>
      </c>
      <c r="E38" s="84">
        <f t="shared" si="4"/>
        <v>54500226.899999999</v>
      </c>
      <c r="F38" s="84">
        <f t="shared" si="4"/>
        <v>5269704.3000000026</v>
      </c>
      <c r="G38" s="85">
        <f t="shared" si="4"/>
        <v>177461.10594532467</v>
      </c>
      <c r="H38" s="85">
        <f t="shared" si="4"/>
        <v>0</v>
      </c>
      <c r="I38" s="86">
        <f t="shared" si="4"/>
        <v>5447165.4059453271</v>
      </c>
      <c r="J38" s="87">
        <f>SUM(J35:J37)</f>
        <v>0</v>
      </c>
      <c r="K38" s="88">
        <f t="shared" si="1"/>
        <v>5447165.4059453271</v>
      </c>
      <c r="M38" s="89"/>
    </row>
    <row r="39" spans="2:13" ht="23.25" customHeight="1" thickBot="1" x14ac:dyDescent="0.3">
      <c r="C39" s="90" t="s">
        <v>44</v>
      </c>
      <c r="D39" s="91">
        <f t="shared" ref="D39:I39" si="5">SUM(D34,D38)</f>
        <v>80297174.879999995</v>
      </c>
      <c r="E39" s="92">
        <f t="shared" si="5"/>
        <v>73217655.810000002</v>
      </c>
      <c r="F39" s="91">
        <f t="shared" si="5"/>
        <v>7079519.0700000031</v>
      </c>
      <c r="G39" s="92">
        <f t="shared" si="5"/>
        <v>238407.92807353847</v>
      </c>
      <c r="H39" s="92">
        <f t="shared" si="5"/>
        <v>0</v>
      </c>
      <c r="I39" s="93">
        <f t="shared" si="5"/>
        <v>7317926.9980735416</v>
      </c>
      <c r="J39" s="94">
        <f>SUM(J34,J38)</f>
        <v>0</v>
      </c>
      <c r="K39" s="95">
        <f t="shared" si="1"/>
        <v>7317926.9980735416</v>
      </c>
      <c r="L39" s="95"/>
      <c r="M39" s="89"/>
    </row>
    <row r="40" spans="2:13" x14ac:dyDescent="0.25">
      <c r="E40" s="52"/>
      <c r="F40" s="52"/>
      <c r="G40" s="52"/>
      <c r="H40" s="52"/>
    </row>
    <row r="41" spans="2:13" x14ac:dyDescent="0.25">
      <c r="K41" s="96"/>
    </row>
    <row r="42" spans="2:13" x14ac:dyDescent="0.25">
      <c r="D42" s="65"/>
    </row>
    <row r="43" spans="2:13" x14ac:dyDescent="0.25">
      <c r="K43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I95" activePane="bottomRight" state="frozen"/>
      <selection pane="topRight" activeCell="C1" sqref="C1"/>
      <selection pane="bottomLeft" activeCell="A5" sqref="A5"/>
      <selection pane="bottomRight" activeCell="J103" sqref="J103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1.1796875" style="1" customWidth="1"/>
    <col min="16" max="16384" width="8.7265625" style="1"/>
  </cols>
  <sheetData>
    <row r="3" spans="1:15" x14ac:dyDescent="0.25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70</v>
      </c>
      <c r="C5" s="104">
        <v>637218.72</v>
      </c>
      <c r="D5" s="105">
        <v>605061.6</v>
      </c>
      <c r="E5" s="105">
        <v>431582.4</v>
      </c>
      <c r="F5" s="105">
        <v>520437.6</v>
      </c>
      <c r="G5" s="105">
        <v>466278.24</v>
      </c>
      <c r="H5" s="105">
        <v>689685.6</v>
      </c>
      <c r="I5" s="105">
        <v>690531.83999999997</v>
      </c>
      <c r="J5" s="105">
        <v>752307.36</v>
      </c>
      <c r="K5" s="105">
        <v>649912.32000000007</v>
      </c>
      <c r="L5" s="105">
        <v>535669.92000000004</v>
      </c>
      <c r="M5" s="105">
        <v>540747.36</v>
      </c>
      <c r="N5" s="105">
        <v>621140.16</v>
      </c>
      <c r="O5" s="106">
        <v>7140573.1200000001</v>
      </c>
    </row>
    <row r="6" spans="1:15" ht="13" x14ac:dyDescent="0.3">
      <c r="A6" s="239"/>
      <c r="B6" s="107" t="s">
        <v>25</v>
      </c>
      <c r="C6" s="244">
        <v>56181.329999999958</v>
      </c>
      <c r="D6" s="245">
        <v>53346.150000000023</v>
      </c>
      <c r="E6" s="245">
        <v>38051.100000000035</v>
      </c>
      <c r="F6" s="245">
        <v>45885.149999999965</v>
      </c>
      <c r="G6" s="245">
        <v>41110.109999999986</v>
      </c>
      <c r="H6" s="245">
        <v>60807.150000000023</v>
      </c>
      <c r="I6" s="245">
        <v>60881.760000000009</v>
      </c>
      <c r="J6" s="245">
        <v>66328.290000000037</v>
      </c>
      <c r="K6" s="245">
        <v>57300.480000000098</v>
      </c>
      <c r="L6" s="245">
        <v>47228.130000000063</v>
      </c>
      <c r="M6" s="245">
        <v>47675.789999999979</v>
      </c>
      <c r="N6" s="245">
        <v>54763.739999999991</v>
      </c>
      <c r="O6" s="246">
        <v>629559.18000000017</v>
      </c>
    </row>
    <row r="7" spans="1:15" ht="13" x14ac:dyDescent="0.3">
      <c r="A7" s="239"/>
      <c r="B7" s="107" t="s">
        <v>26</v>
      </c>
      <c r="C7" s="244">
        <v>1891.9469457288612</v>
      </c>
      <c r="D7" s="245">
        <v>1796.4702074317875</v>
      </c>
      <c r="E7" s="245">
        <v>1281.3983297765196</v>
      </c>
      <c r="F7" s="245">
        <v>1545.215632965803</v>
      </c>
      <c r="G7" s="245">
        <v>1384.4127053075731</v>
      </c>
      <c r="H7" s="245">
        <v>2047.7247818977714</v>
      </c>
      <c r="I7" s="245">
        <v>2050.2373276424314</v>
      </c>
      <c r="J7" s="245">
        <v>2233.6531670026002</v>
      </c>
      <c r="K7" s="245">
        <v>1929.6351318987588</v>
      </c>
      <c r="L7" s="245">
        <v>1590.4414563696803</v>
      </c>
      <c r="M7" s="245">
        <v>1605.5167308376392</v>
      </c>
      <c r="N7" s="245">
        <v>1844.2085765803242</v>
      </c>
      <c r="O7" s="246">
        <v>21200.86099343975</v>
      </c>
    </row>
    <row r="8" spans="1:15" ht="13" x14ac:dyDescent="0.3">
      <c r="A8" s="239"/>
      <c r="B8" s="107" t="s">
        <v>27</v>
      </c>
      <c r="C8" s="244">
        <v>58073.276945728816</v>
      </c>
      <c r="D8" s="245">
        <v>55142.620207431813</v>
      </c>
      <c r="E8" s="245">
        <v>39332.498329776558</v>
      </c>
      <c r="F8" s="245">
        <v>47430.365632965768</v>
      </c>
      <c r="G8" s="245">
        <v>42494.522705307558</v>
      </c>
      <c r="H8" s="245">
        <v>62854.874781897794</v>
      </c>
      <c r="I8" s="245">
        <v>62931.997327642443</v>
      </c>
      <c r="J8" s="245">
        <v>68561.943167002639</v>
      </c>
      <c r="K8" s="245">
        <v>59230.115131898856</v>
      </c>
      <c r="L8" s="245">
        <v>48818.57145636974</v>
      </c>
      <c r="M8" s="245">
        <v>49281.306730837619</v>
      </c>
      <c r="N8" s="245">
        <v>56607.948576580318</v>
      </c>
      <c r="O8" s="246">
        <v>650760.04099343973</v>
      </c>
    </row>
    <row r="9" spans="1:15" x14ac:dyDescent="0.25">
      <c r="A9" s="239"/>
      <c r="B9" s="107" t="s">
        <v>49</v>
      </c>
      <c r="C9" s="108">
        <v>581037.39</v>
      </c>
      <c r="D9" s="96">
        <v>551715.44999999995</v>
      </c>
      <c r="E9" s="96">
        <v>393531.3</v>
      </c>
      <c r="F9" s="96">
        <v>474552.45</v>
      </c>
      <c r="G9" s="96">
        <v>425168.13</v>
      </c>
      <c r="H9" s="96">
        <v>628878.44999999995</v>
      </c>
      <c r="I9" s="96">
        <v>629650.07999999996</v>
      </c>
      <c r="J9" s="96">
        <v>685979.07</v>
      </c>
      <c r="K9" s="96">
        <v>592611.83999999997</v>
      </c>
      <c r="L9" s="96">
        <v>488441.79</v>
      </c>
      <c r="M9" s="96">
        <v>493071.57</v>
      </c>
      <c r="N9" s="96">
        <v>566376.42000000004</v>
      </c>
      <c r="O9" s="109">
        <v>6511013.9400000004</v>
      </c>
    </row>
    <row r="10" spans="1:15" x14ac:dyDescent="0.25">
      <c r="A10" s="239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9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70</v>
      </c>
      <c r="C12" s="104">
        <v>89701.440000000002</v>
      </c>
      <c r="D12" s="105">
        <v>87162.72</v>
      </c>
      <c r="E12" s="105">
        <v>22002.240000000002</v>
      </c>
      <c r="F12" s="105">
        <v>82085.279999999999</v>
      </c>
      <c r="G12" s="105">
        <v>67699.199999999997</v>
      </c>
      <c r="H12" s="105">
        <v>83777.759999999995</v>
      </c>
      <c r="I12" s="105">
        <v>93932.64</v>
      </c>
      <c r="J12" s="105">
        <v>94778.880000000005</v>
      </c>
      <c r="K12" s="105">
        <v>96471.360000000001</v>
      </c>
      <c r="L12" s="105">
        <v>81239.040000000008</v>
      </c>
      <c r="M12" s="105">
        <v>84624</v>
      </c>
      <c r="N12" s="105">
        <v>88855.2</v>
      </c>
      <c r="O12" s="106">
        <v>972329.76</v>
      </c>
    </row>
    <row r="13" spans="1:15" ht="13" x14ac:dyDescent="0.3">
      <c r="A13" s="239"/>
      <c r="B13" s="107" t="s">
        <v>25</v>
      </c>
      <c r="C13" s="244">
        <v>7908.6600000000035</v>
      </c>
      <c r="D13" s="245">
        <v>7684.8300000000017</v>
      </c>
      <c r="E13" s="245">
        <v>1939.8600000000006</v>
      </c>
      <c r="F13" s="245">
        <v>7237.1699999999983</v>
      </c>
      <c r="G13" s="245">
        <v>5968.7999999999956</v>
      </c>
      <c r="H13" s="245">
        <v>7386.3899999999994</v>
      </c>
      <c r="I13" s="245">
        <v>8281.7100000000064</v>
      </c>
      <c r="J13" s="245">
        <v>8356.320000000007</v>
      </c>
      <c r="K13" s="245">
        <v>8505.5400000000081</v>
      </c>
      <c r="L13" s="245">
        <v>7162.5600000000122</v>
      </c>
      <c r="M13" s="245">
        <v>7461</v>
      </c>
      <c r="N13" s="245">
        <v>7834.0500000000029</v>
      </c>
      <c r="O13" s="246">
        <v>85726.890000000029</v>
      </c>
    </row>
    <row r="14" spans="1:15" ht="13" x14ac:dyDescent="0.3">
      <c r="A14" s="239"/>
      <c r="B14" s="107" t="s">
        <v>26</v>
      </c>
      <c r="C14" s="244">
        <v>266.32984893394331</v>
      </c>
      <c r="D14" s="245">
        <v>258.79221169996379</v>
      </c>
      <c r="E14" s="245">
        <v>65.326189361155912</v>
      </c>
      <c r="F14" s="245">
        <v>243.71693723200471</v>
      </c>
      <c r="G14" s="245">
        <v>201.0036595727874</v>
      </c>
      <c r="H14" s="245">
        <v>248.7420287213244</v>
      </c>
      <c r="I14" s="245">
        <v>278.8925776572425</v>
      </c>
      <c r="J14" s="245">
        <v>281.40512340190236</v>
      </c>
      <c r="K14" s="245">
        <v>286.43021489122202</v>
      </c>
      <c r="L14" s="245">
        <v>241.20439148734485</v>
      </c>
      <c r="M14" s="245">
        <v>251.25457446598423</v>
      </c>
      <c r="N14" s="245">
        <v>263.81730318928345</v>
      </c>
      <c r="O14" s="246">
        <v>2886.9150606141588</v>
      </c>
    </row>
    <row r="15" spans="1:15" ht="13" x14ac:dyDescent="0.3">
      <c r="A15" s="239"/>
      <c r="B15" s="107" t="s">
        <v>27</v>
      </c>
      <c r="C15" s="244">
        <v>8174.9898489339466</v>
      </c>
      <c r="D15" s="245">
        <v>7943.6222116999652</v>
      </c>
      <c r="E15" s="245">
        <v>2005.1861893611565</v>
      </c>
      <c r="F15" s="245">
        <v>7480.8869372320032</v>
      </c>
      <c r="G15" s="245">
        <v>6169.8036595727826</v>
      </c>
      <c r="H15" s="245">
        <v>7635.1320287213239</v>
      </c>
      <c r="I15" s="245">
        <v>8560.6025776572496</v>
      </c>
      <c r="J15" s="245">
        <v>8637.7251234019095</v>
      </c>
      <c r="K15" s="245">
        <v>8791.9702148912293</v>
      </c>
      <c r="L15" s="245">
        <v>7403.764391487357</v>
      </c>
      <c r="M15" s="245">
        <v>7712.2545744659847</v>
      </c>
      <c r="N15" s="245">
        <v>8097.8673031892868</v>
      </c>
      <c r="O15" s="246">
        <v>88613.805060614206</v>
      </c>
    </row>
    <row r="16" spans="1:15" x14ac:dyDescent="0.25">
      <c r="A16" s="239"/>
      <c r="B16" s="107" t="s">
        <v>49</v>
      </c>
      <c r="C16" s="108">
        <v>81792.78</v>
      </c>
      <c r="D16" s="96">
        <v>79477.89</v>
      </c>
      <c r="E16" s="96">
        <v>20062.38</v>
      </c>
      <c r="F16" s="96">
        <v>74848.11</v>
      </c>
      <c r="G16" s="96">
        <v>61730.400000000001</v>
      </c>
      <c r="H16" s="96">
        <v>76391.37</v>
      </c>
      <c r="I16" s="96">
        <v>85650.93</v>
      </c>
      <c r="J16" s="96">
        <v>86422.56</v>
      </c>
      <c r="K16" s="96">
        <v>87965.819999999992</v>
      </c>
      <c r="L16" s="96">
        <v>74076.479999999996</v>
      </c>
      <c r="M16" s="96">
        <v>77163</v>
      </c>
      <c r="N16" s="96">
        <v>81021.149999999994</v>
      </c>
      <c r="O16" s="109">
        <v>886602.86999999988</v>
      </c>
    </row>
    <row r="17" spans="1:15" x14ac:dyDescent="0.25">
      <c r="A17" s="239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9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70</v>
      </c>
      <c r="C19" s="104">
        <v>823391.52</v>
      </c>
      <c r="D19" s="105">
        <v>838623.84</v>
      </c>
      <c r="E19" s="105">
        <v>495050.4</v>
      </c>
      <c r="F19" s="105">
        <v>550056</v>
      </c>
      <c r="G19" s="105">
        <v>582213.12</v>
      </c>
      <c r="H19" s="105">
        <v>706610.4</v>
      </c>
      <c r="I19" s="105">
        <v>768385.92</v>
      </c>
      <c r="J19" s="105">
        <v>765847.2</v>
      </c>
      <c r="K19" s="105">
        <v>641449.92000000004</v>
      </c>
      <c r="L19" s="105">
        <v>603369.12</v>
      </c>
      <c r="M19" s="105">
        <v>645681.12</v>
      </c>
      <c r="N19" s="105">
        <v>836085.12</v>
      </c>
      <c r="O19" s="106">
        <v>8256763.6800000006</v>
      </c>
    </row>
    <row r="20" spans="1:15" ht="13" x14ac:dyDescent="0.3">
      <c r="A20" s="239"/>
      <c r="B20" s="107" t="s">
        <v>25</v>
      </c>
      <c r="C20" s="244">
        <v>72595.530000000028</v>
      </c>
      <c r="D20" s="245">
        <v>73938.510000000009</v>
      </c>
      <c r="E20" s="245">
        <v>43646.850000000035</v>
      </c>
      <c r="F20" s="245">
        <v>48496.5</v>
      </c>
      <c r="G20" s="245">
        <v>51331.680000000051</v>
      </c>
      <c r="H20" s="245">
        <v>62299.349999999977</v>
      </c>
      <c r="I20" s="245">
        <v>67745.88</v>
      </c>
      <c r="J20" s="245">
        <v>67522.04999999993</v>
      </c>
      <c r="K20" s="245">
        <v>56554.380000000005</v>
      </c>
      <c r="L20" s="245">
        <v>53196.930000000051</v>
      </c>
      <c r="M20" s="245">
        <v>56927.430000000051</v>
      </c>
      <c r="N20" s="245">
        <v>73714.680000000051</v>
      </c>
      <c r="O20" s="246">
        <v>727969.77000000014</v>
      </c>
    </row>
    <row r="21" spans="1:15" ht="13" x14ac:dyDescent="0.3">
      <c r="A21" s="239"/>
      <c r="B21" s="107" t="s">
        <v>26</v>
      </c>
      <c r="C21" s="244">
        <v>2444.7070095540266</v>
      </c>
      <c r="D21" s="245">
        <v>2489.9328329579039</v>
      </c>
      <c r="E21" s="245">
        <v>1469.8392606260079</v>
      </c>
      <c r="F21" s="245">
        <v>1633.1547340288976</v>
      </c>
      <c r="G21" s="245">
        <v>1728.6314723259716</v>
      </c>
      <c r="H21" s="245">
        <v>2097.9756967909684</v>
      </c>
      <c r="I21" s="245">
        <v>2281.3915361511367</v>
      </c>
      <c r="J21" s="245">
        <v>2273.8538989171575</v>
      </c>
      <c r="K21" s="245">
        <v>1904.5096744521604</v>
      </c>
      <c r="L21" s="245">
        <v>1791.4451159424677</v>
      </c>
      <c r="M21" s="245">
        <v>1917.0724031754598</v>
      </c>
      <c r="N21" s="245">
        <v>2482.3951957239242</v>
      </c>
      <c r="O21" s="246">
        <v>24514.908830646084</v>
      </c>
    </row>
    <row r="22" spans="1:15" ht="13" x14ac:dyDescent="0.3">
      <c r="A22" s="239"/>
      <c r="B22" s="107" t="s">
        <v>27</v>
      </c>
      <c r="C22" s="244">
        <v>75040.237009554054</v>
      </c>
      <c r="D22" s="245">
        <v>76428.44283295791</v>
      </c>
      <c r="E22" s="245">
        <v>45116.689260626044</v>
      </c>
      <c r="F22" s="245">
        <v>50129.654734028896</v>
      </c>
      <c r="G22" s="245">
        <v>53060.311472326022</v>
      </c>
      <c r="H22" s="245">
        <v>64397.325696790947</v>
      </c>
      <c r="I22" s="245">
        <v>70027.271536151136</v>
      </c>
      <c r="J22" s="245">
        <v>69795.90389891708</v>
      </c>
      <c r="K22" s="245">
        <v>58458.889674452163</v>
      </c>
      <c r="L22" s="245">
        <v>54988.375115942516</v>
      </c>
      <c r="M22" s="245">
        <v>58844.502403175509</v>
      </c>
      <c r="N22" s="245">
        <v>76197.07519572397</v>
      </c>
      <c r="O22" s="246">
        <v>752484.67883064621</v>
      </c>
    </row>
    <row r="23" spans="1:15" x14ac:dyDescent="0.25">
      <c r="A23" s="239"/>
      <c r="B23" s="107" t="s">
        <v>49</v>
      </c>
      <c r="C23" s="108">
        <v>750795.99</v>
      </c>
      <c r="D23" s="96">
        <v>764685.33</v>
      </c>
      <c r="E23" s="96">
        <v>451403.55</v>
      </c>
      <c r="F23" s="96">
        <v>501559.5</v>
      </c>
      <c r="G23" s="96">
        <v>530881.43999999994</v>
      </c>
      <c r="H23" s="96">
        <v>644311.05000000005</v>
      </c>
      <c r="I23" s="96">
        <v>700640.04</v>
      </c>
      <c r="J23" s="96">
        <v>698325.15</v>
      </c>
      <c r="K23" s="96">
        <v>584895.54</v>
      </c>
      <c r="L23" s="96">
        <v>550172.18999999994</v>
      </c>
      <c r="M23" s="96">
        <v>588753.68999999994</v>
      </c>
      <c r="N23" s="96">
        <v>762370.44</v>
      </c>
      <c r="O23" s="109">
        <v>7528793.9100000001</v>
      </c>
    </row>
    <row r="24" spans="1:15" x14ac:dyDescent="0.25">
      <c r="A24" s="239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9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70</v>
      </c>
      <c r="C26" s="104">
        <v>5077.4400000000005</v>
      </c>
      <c r="D26" s="105">
        <v>4231.2</v>
      </c>
      <c r="E26" s="105">
        <v>3384.96</v>
      </c>
      <c r="F26" s="105">
        <v>5923.68</v>
      </c>
      <c r="G26" s="105">
        <v>9308.64</v>
      </c>
      <c r="H26" s="105">
        <v>10154.880000000001</v>
      </c>
      <c r="I26" s="105">
        <v>15232.32</v>
      </c>
      <c r="J26" s="105">
        <v>13539.84</v>
      </c>
      <c r="K26" s="105">
        <v>5077.4400000000005</v>
      </c>
      <c r="L26" s="105">
        <v>5923.68</v>
      </c>
      <c r="M26" s="105">
        <v>5077.4400000000005</v>
      </c>
      <c r="N26" s="105">
        <v>6769.92</v>
      </c>
      <c r="O26" s="106">
        <v>89701.440000000017</v>
      </c>
    </row>
    <row r="27" spans="1:15" ht="13" x14ac:dyDescent="0.3">
      <c r="A27" s="239"/>
      <c r="B27" s="107" t="s">
        <v>25</v>
      </c>
      <c r="C27" s="244">
        <v>447.66000000000076</v>
      </c>
      <c r="D27" s="245">
        <v>373.04999999999973</v>
      </c>
      <c r="E27" s="245">
        <v>298.44000000000005</v>
      </c>
      <c r="F27" s="245">
        <v>522.27000000000044</v>
      </c>
      <c r="G27" s="245">
        <v>820.70999999999913</v>
      </c>
      <c r="H27" s="245">
        <v>895.32000000000153</v>
      </c>
      <c r="I27" s="245">
        <v>1342.9799999999996</v>
      </c>
      <c r="J27" s="245">
        <v>1193.7600000000002</v>
      </c>
      <c r="K27" s="245">
        <v>447.66000000000076</v>
      </c>
      <c r="L27" s="245">
        <v>522.27000000000044</v>
      </c>
      <c r="M27" s="245">
        <v>447.66000000000076</v>
      </c>
      <c r="N27" s="245">
        <v>596.88000000000011</v>
      </c>
      <c r="O27" s="246">
        <v>7908.6600000000035</v>
      </c>
    </row>
    <row r="28" spans="1:15" ht="13" x14ac:dyDescent="0.3">
      <c r="A28" s="239"/>
      <c r="B28" s="107" t="s">
        <v>26</v>
      </c>
      <c r="C28" s="244">
        <v>15.075274467959053</v>
      </c>
      <c r="D28" s="245">
        <v>12.562728723299212</v>
      </c>
      <c r="E28" s="245">
        <v>10.05018297863937</v>
      </c>
      <c r="F28" s="245">
        <v>17.587820212618897</v>
      </c>
      <c r="G28" s="245">
        <v>27.638003191258267</v>
      </c>
      <c r="H28" s="245">
        <v>30.150548935918106</v>
      </c>
      <c r="I28" s="245">
        <v>45.225823403877165</v>
      </c>
      <c r="J28" s="245">
        <v>40.20073191455748</v>
      </c>
      <c r="K28" s="245">
        <v>15.075274467959053</v>
      </c>
      <c r="L28" s="245">
        <v>17.587820212618897</v>
      </c>
      <c r="M28" s="245">
        <v>15.075274467959053</v>
      </c>
      <c r="N28" s="245">
        <v>20.10036595727874</v>
      </c>
      <c r="O28" s="246">
        <v>266.32984893394325</v>
      </c>
    </row>
    <row r="29" spans="1:15" ht="13" x14ac:dyDescent="0.3">
      <c r="A29" s="239"/>
      <c r="B29" s="107" t="s">
        <v>27</v>
      </c>
      <c r="C29" s="244">
        <v>462.73527446795981</v>
      </c>
      <c r="D29" s="245">
        <v>385.61272872329891</v>
      </c>
      <c r="E29" s="245">
        <v>308.49018297863944</v>
      </c>
      <c r="F29" s="245">
        <v>539.85782021261934</v>
      </c>
      <c r="G29" s="245">
        <v>848.34800319125736</v>
      </c>
      <c r="H29" s="245">
        <v>925.47054893591962</v>
      </c>
      <c r="I29" s="245">
        <v>1388.2058234038768</v>
      </c>
      <c r="J29" s="245">
        <v>1233.9607319145578</v>
      </c>
      <c r="K29" s="245">
        <v>462.73527446795981</v>
      </c>
      <c r="L29" s="245">
        <v>539.85782021261934</v>
      </c>
      <c r="M29" s="245">
        <v>462.73527446795981</v>
      </c>
      <c r="N29" s="245">
        <v>616.98036595727888</v>
      </c>
      <c r="O29" s="246">
        <v>8174.9898489339475</v>
      </c>
    </row>
    <row r="30" spans="1:15" x14ac:dyDescent="0.25">
      <c r="A30" s="239"/>
      <c r="B30" s="107" t="s">
        <v>49</v>
      </c>
      <c r="C30" s="108">
        <v>4629.78</v>
      </c>
      <c r="D30" s="96">
        <v>3858.15</v>
      </c>
      <c r="E30" s="96">
        <v>3086.52</v>
      </c>
      <c r="F30" s="96">
        <v>5401.41</v>
      </c>
      <c r="G30" s="96">
        <v>8487.93</v>
      </c>
      <c r="H30" s="96">
        <v>9259.56</v>
      </c>
      <c r="I30" s="96">
        <v>13889.34</v>
      </c>
      <c r="J30" s="96">
        <v>12346.08</v>
      </c>
      <c r="K30" s="96">
        <v>4629.78</v>
      </c>
      <c r="L30" s="96">
        <v>5401.41</v>
      </c>
      <c r="M30" s="96">
        <v>4629.78</v>
      </c>
      <c r="N30" s="96">
        <v>6173.04</v>
      </c>
      <c r="O30" s="109">
        <v>81792.78</v>
      </c>
    </row>
    <row r="31" spans="1:15" x14ac:dyDescent="0.25">
      <c r="A31" s="239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9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70</v>
      </c>
      <c r="C33" s="104">
        <v>1692.48</v>
      </c>
      <c r="D33" s="105">
        <v>2538.7200000000003</v>
      </c>
      <c r="E33" s="105">
        <v>846.24</v>
      </c>
      <c r="F33" s="105">
        <v>1692.48</v>
      </c>
      <c r="G33" s="105">
        <v>1692.48</v>
      </c>
      <c r="H33" s="105">
        <v>3384.96</v>
      </c>
      <c r="I33" s="105">
        <v>5077.4400000000005</v>
      </c>
      <c r="J33" s="105">
        <v>4231.2</v>
      </c>
      <c r="K33" s="105">
        <v>1692.48</v>
      </c>
      <c r="L33" s="105">
        <v>846.24</v>
      </c>
      <c r="M33" s="105">
        <v>2538.7200000000003</v>
      </c>
      <c r="N33" s="105">
        <v>846.24</v>
      </c>
      <c r="O33" s="106">
        <v>27079.680000000008</v>
      </c>
    </row>
    <row r="34" spans="1:15" ht="13" x14ac:dyDescent="0.3">
      <c r="A34" s="239"/>
      <c r="B34" s="107" t="s">
        <v>25</v>
      </c>
      <c r="C34" s="244">
        <v>149.22000000000003</v>
      </c>
      <c r="D34" s="245">
        <v>223.83000000000038</v>
      </c>
      <c r="E34" s="245">
        <v>74.610000000000014</v>
      </c>
      <c r="F34" s="245">
        <v>149.22000000000003</v>
      </c>
      <c r="G34" s="245">
        <v>149.22000000000003</v>
      </c>
      <c r="H34" s="245">
        <v>298.44000000000005</v>
      </c>
      <c r="I34" s="245">
        <v>447.66000000000076</v>
      </c>
      <c r="J34" s="245">
        <v>373.04999999999973</v>
      </c>
      <c r="K34" s="245">
        <v>149.22000000000003</v>
      </c>
      <c r="L34" s="245">
        <v>74.610000000000014</v>
      </c>
      <c r="M34" s="245">
        <v>223.83000000000038</v>
      </c>
      <c r="N34" s="245">
        <v>74.610000000000014</v>
      </c>
      <c r="O34" s="246">
        <v>2387.5200000000013</v>
      </c>
    </row>
    <row r="35" spans="1:15" ht="13" x14ac:dyDescent="0.3">
      <c r="A35" s="239"/>
      <c r="B35" s="107" t="s">
        <v>26</v>
      </c>
      <c r="C35" s="244">
        <v>5.025091489319685</v>
      </c>
      <c r="D35" s="245">
        <v>7.5376372339795266</v>
      </c>
      <c r="E35" s="245">
        <v>2.5125457446598425</v>
      </c>
      <c r="F35" s="245">
        <v>5.025091489319685</v>
      </c>
      <c r="G35" s="245">
        <v>5.025091489319685</v>
      </c>
      <c r="H35" s="245">
        <v>10.05018297863937</v>
      </c>
      <c r="I35" s="245">
        <v>15.075274467959053</v>
      </c>
      <c r="J35" s="245">
        <v>12.562728723299212</v>
      </c>
      <c r="K35" s="245">
        <v>5.025091489319685</v>
      </c>
      <c r="L35" s="245">
        <v>2.5125457446598425</v>
      </c>
      <c r="M35" s="245">
        <v>7.5376372339795266</v>
      </c>
      <c r="N35" s="245">
        <v>2.5125457446598425</v>
      </c>
      <c r="O35" s="246">
        <v>80.401463829114959</v>
      </c>
    </row>
    <row r="36" spans="1:15" ht="13" x14ac:dyDescent="0.3">
      <c r="A36" s="239"/>
      <c r="B36" s="107" t="s">
        <v>27</v>
      </c>
      <c r="C36" s="244">
        <v>154.24509148931972</v>
      </c>
      <c r="D36" s="245">
        <v>231.36763723397991</v>
      </c>
      <c r="E36" s="245">
        <v>77.12254574465986</v>
      </c>
      <c r="F36" s="245">
        <v>154.24509148931972</v>
      </c>
      <c r="G36" s="245">
        <v>154.24509148931972</v>
      </c>
      <c r="H36" s="245">
        <v>308.49018297863944</v>
      </c>
      <c r="I36" s="245">
        <v>462.73527446795981</v>
      </c>
      <c r="J36" s="245">
        <v>385.61272872329891</v>
      </c>
      <c r="K36" s="245">
        <v>154.24509148931972</v>
      </c>
      <c r="L36" s="245">
        <v>77.12254574465986</v>
      </c>
      <c r="M36" s="245">
        <v>231.36763723397991</v>
      </c>
      <c r="N36" s="245">
        <v>77.12254574465986</v>
      </c>
      <c r="O36" s="246">
        <v>2467.9214638291169</v>
      </c>
    </row>
    <row r="37" spans="1:15" x14ac:dyDescent="0.25">
      <c r="A37" s="239"/>
      <c r="B37" s="107" t="s">
        <v>49</v>
      </c>
      <c r="C37" s="108">
        <v>1543.26</v>
      </c>
      <c r="D37" s="96">
        <v>2314.89</v>
      </c>
      <c r="E37" s="96">
        <v>771.63</v>
      </c>
      <c r="F37" s="96">
        <v>1543.26</v>
      </c>
      <c r="G37" s="96">
        <v>1543.26</v>
      </c>
      <c r="H37" s="96">
        <v>3086.52</v>
      </c>
      <c r="I37" s="96">
        <v>4629.78</v>
      </c>
      <c r="J37" s="96">
        <v>3858.15</v>
      </c>
      <c r="K37" s="96">
        <v>1543.26</v>
      </c>
      <c r="L37" s="96">
        <v>771.63</v>
      </c>
      <c r="M37" s="96">
        <v>2314.89</v>
      </c>
      <c r="N37" s="96">
        <v>771.63</v>
      </c>
      <c r="O37" s="109">
        <v>24692.16</v>
      </c>
    </row>
    <row r="38" spans="1:15" x14ac:dyDescent="0.25">
      <c r="A38" s="239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9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70</v>
      </c>
      <c r="C40" s="104">
        <v>33003.360000000001</v>
      </c>
      <c r="D40" s="105">
        <v>34695.840000000004</v>
      </c>
      <c r="E40" s="105">
        <v>30464.639999999999</v>
      </c>
      <c r="F40" s="105">
        <v>26233.439999999999</v>
      </c>
      <c r="G40" s="105">
        <v>27079.68</v>
      </c>
      <c r="H40" s="105">
        <v>33003.360000000001</v>
      </c>
      <c r="I40" s="105">
        <v>37234.559999999998</v>
      </c>
      <c r="J40" s="105">
        <v>32157.119999999999</v>
      </c>
      <c r="K40" s="105">
        <v>34695.840000000004</v>
      </c>
      <c r="L40" s="105">
        <v>35542.080000000002</v>
      </c>
      <c r="M40" s="105">
        <v>38080.800000000003</v>
      </c>
      <c r="N40" s="105">
        <v>36388.32</v>
      </c>
      <c r="O40" s="106">
        <v>398579.04000000004</v>
      </c>
    </row>
    <row r="41" spans="1:15" ht="13" x14ac:dyDescent="0.3">
      <c r="A41" s="239"/>
      <c r="B41" s="107" t="s">
        <v>25</v>
      </c>
      <c r="C41" s="244">
        <v>2909.7900000000009</v>
      </c>
      <c r="D41" s="245">
        <v>3059.0100000000057</v>
      </c>
      <c r="E41" s="245">
        <v>2685.9599999999991</v>
      </c>
      <c r="F41" s="245">
        <v>2312.91</v>
      </c>
      <c r="G41" s="245">
        <v>2387.5200000000004</v>
      </c>
      <c r="H41" s="245">
        <v>2909.7900000000009</v>
      </c>
      <c r="I41" s="245">
        <v>3282.8399999999965</v>
      </c>
      <c r="J41" s="245">
        <v>2835.1800000000003</v>
      </c>
      <c r="K41" s="245">
        <v>3059.0100000000057</v>
      </c>
      <c r="L41" s="245">
        <v>3133.6200000000026</v>
      </c>
      <c r="M41" s="245">
        <v>3357.4500000000044</v>
      </c>
      <c r="N41" s="245">
        <v>3208.2300000000032</v>
      </c>
      <c r="O41" s="246">
        <v>35141.310000000019</v>
      </c>
    </row>
    <row r="42" spans="1:15" ht="13" x14ac:dyDescent="0.3">
      <c r="A42" s="239"/>
      <c r="B42" s="107" t="s">
        <v>26</v>
      </c>
      <c r="C42" s="244">
        <v>97.989284041733853</v>
      </c>
      <c r="D42" s="245">
        <v>103.01437553105355</v>
      </c>
      <c r="E42" s="245">
        <v>90.451646807754329</v>
      </c>
      <c r="F42" s="245">
        <v>77.888918084455113</v>
      </c>
      <c r="G42" s="245">
        <v>80.401463829114959</v>
      </c>
      <c r="H42" s="245">
        <v>97.989284041733853</v>
      </c>
      <c r="I42" s="245">
        <v>110.55201276503307</v>
      </c>
      <c r="J42" s="245">
        <v>95.476738297074021</v>
      </c>
      <c r="K42" s="245">
        <v>103.01437553105355</v>
      </c>
      <c r="L42" s="245">
        <v>105.52692127571338</v>
      </c>
      <c r="M42" s="245">
        <v>113.06455850969292</v>
      </c>
      <c r="N42" s="245">
        <v>108.03946702037322</v>
      </c>
      <c r="O42" s="246">
        <v>1183.4090457347856</v>
      </c>
    </row>
    <row r="43" spans="1:15" ht="13" x14ac:dyDescent="0.3">
      <c r="A43" s="239"/>
      <c r="B43" s="107" t="s">
        <v>27</v>
      </c>
      <c r="C43" s="244">
        <v>3007.7792840417346</v>
      </c>
      <c r="D43" s="245">
        <v>3162.0243755310594</v>
      </c>
      <c r="E43" s="245">
        <v>2776.4116468077536</v>
      </c>
      <c r="F43" s="245">
        <v>2390.7989180844552</v>
      </c>
      <c r="G43" s="245">
        <v>2467.9214638291155</v>
      </c>
      <c r="H43" s="245">
        <v>3007.7792840417346</v>
      </c>
      <c r="I43" s="245">
        <v>3393.3920127650294</v>
      </c>
      <c r="J43" s="245">
        <v>2930.6567382970743</v>
      </c>
      <c r="K43" s="245">
        <v>3162.0243755310594</v>
      </c>
      <c r="L43" s="245">
        <v>3239.1469212757161</v>
      </c>
      <c r="M43" s="245">
        <v>3470.5145585096971</v>
      </c>
      <c r="N43" s="245">
        <v>3316.2694670203764</v>
      </c>
      <c r="O43" s="246">
        <v>36324.719045734804</v>
      </c>
    </row>
    <row r="44" spans="1:15" x14ac:dyDescent="0.25">
      <c r="A44" s="239"/>
      <c r="B44" s="107" t="s">
        <v>49</v>
      </c>
      <c r="C44" s="108">
        <v>30093.57</v>
      </c>
      <c r="D44" s="96">
        <v>31636.829999999998</v>
      </c>
      <c r="E44" s="96">
        <v>27778.68</v>
      </c>
      <c r="F44" s="96">
        <v>23920.53</v>
      </c>
      <c r="G44" s="96">
        <v>24692.16</v>
      </c>
      <c r="H44" s="96">
        <v>30093.57</v>
      </c>
      <c r="I44" s="96">
        <v>33951.72</v>
      </c>
      <c r="J44" s="96">
        <v>29321.94</v>
      </c>
      <c r="K44" s="96">
        <v>31636.829999999998</v>
      </c>
      <c r="L44" s="96">
        <v>32408.46</v>
      </c>
      <c r="M44" s="96">
        <v>34723.35</v>
      </c>
      <c r="N44" s="96">
        <v>33180.089999999997</v>
      </c>
      <c r="O44" s="109">
        <v>363437.73</v>
      </c>
    </row>
    <row r="45" spans="1:15" x14ac:dyDescent="0.25">
      <c r="A45" s="239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9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70</v>
      </c>
      <c r="C47" s="104">
        <v>64314.239999999998</v>
      </c>
      <c r="D47" s="105">
        <v>65160.480000000003</v>
      </c>
      <c r="E47" s="105">
        <v>71930.399999999994</v>
      </c>
      <c r="F47" s="105">
        <v>69391.680000000008</v>
      </c>
      <c r="G47" s="105">
        <v>99010.08</v>
      </c>
      <c r="H47" s="105">
        <v>110857.44</v>
      </c>
      <c r="I47" s="105">
        <v>124397.28</v>
      </c>
      <c r="J47" s="105">
        <v>119319.84</v>
      </c>
      <c r="K47" s="105">
        <v>93932.64</v>
      </c>
      <c r="L47" s="105">
        <v>82931.520000000004</v>
      </c>
      <c r="M47" s="105">
        <v>62621.760000000002</v>
      </c>
      <c r="N47" s="105">
        <v>66006.720000000001</v>
      </c>
      <c r="O47" s="106">
        <v>1029874.08</v>
      </c>
    </row>
    <row r="48" spans="1:15" ht="13" x14ac:dyDescent="0.3">
      <c r="A48" s="239"/>
      <c r="B48" s="107" t="s">
        <v>25</v>
      </c>
      <c r="C48" s="244">
        <v>5670.3600000000006</v>
      </c>
      <c r="D48" s="245">
        <v>5744.9700000000012</v>
      </c>
      <c r="E48" s="245">
        <v>6341.8499999999913</v>
      </c>
      <c r="F48" s="245">
        <v>6118.0200000000114</v>
      </c>
      <c r="G48" s="245">
        <v>8729.3699999999953</v>
      </c>
      <c r="H48" s="245">
        <v>9773.9100000000035</v>
      </c>
      <c r="I48" s="245">
        <v>10967.669999999998</v>
      </c>
      <c r="J48" s="245">
        <v>10520.009999999995</v>
      </c>
      <c r="K48" s="245">
        <v>8281.7100000000064</v>
      </c>
      <c r="L48" s="245">
        <v>7311.7799999999988</v>
      </c>
      <c r="M48" s="245">
        <v>5521.1399999999994</v>
      </c>
      <c r="N48" s="245">
        <v>5819.5800000000017</v>
      </c>
      <c r="O48" s="246">
        <v>90800.37</v>
      </c>
    </row>
    <row r="49" spans="1:15" ht="13" x14ac:dyDescent="0.3">
      <c r="A49" s="239"/>
      <c r="B49" s="107" t="s">
        <v>26</v>
      </c>
      <c r="C49" s="244">
        <v>190.95347659414804</v>
      </c>
      <c r="D49" s="245">
        <v>193.46602233880785</v>
      </c>
      <c r="E49" s="245">
        <v>213.56638829608659</v>
      </c>
      <c r="F49" s="245">
        <v>206.02875106210709</v>
      </c>
      <c r="G49" s="245">
        <v>293.96785212520155</v>
      </c>
      <c r="H49" s="245">
        <v>329.14349255043936</v>
      </c>
      <c r="I49" s="245">
        <v>369.34422446499684</v>
      </c>
      <c r="J49" s="245">
        <v>354.26894999703779</v>
      </c>
      <c r="K49" s="245">
        <v>278.8925776572425</v>
      </c>
      <c r="L49" s="245">
        <v>246.22948297666454</v>
      </c>
      <c r="M49" s="245">
        <v>185.92838510482835</v>
      </c>
      <c r="N49" s="245">
        <v>195.97856808346771</v>
      </c>
      <c r="O49" s="246">
        <v>3057.768171251028</v>
      </c>
    </row>
    <row r="50" spans="1:15" ht="13" x14ac:dyDescent="0.3">
      <c r="A50" s="239"/>
      <c r="B50" s="107" t="s">
        <v>27</v>
      </c>
      <c r="C50" s="244">
        <v>5861.3134765941486</v>
      </c>
      <c r="D50" s="245">
        <v>5938.4360223388094</v>
      </c>
      <c r="E50" s="245">
        <v>6555.4163882960775</v>
      </c>
      <c r="F50" s="245">
        <v>6324.0487510621188</v>
      </c>
      <c r="G50" s="245">
        <v>9023.3378521251962</v>
      </c>
      <c r="H50" s="245">
        <v>10103.053492550443</v>
      </c>
      <c r="I50" s="245">
        <v>11337.014224464994</v>
      </c>
      <c r="J50" s="245">
        <v>10874.278949997033</v>
      </c>
      <c r="K50" s="245">
        <v>8560.6025776572496</v>
      </c>
      <c r="L50" s="245">
        <v>7558.0094829766631</v>
      </c>
      <c r="M50" s="245">
        <v>5707.0683851048279</v>
      </c>
      <c r="N50" s="245">
        <v>6015.5585680834693</v>
      </c>
      <c r="O50" s="246">
        <v>93858.138171251019</v>
      </c>
    </row>
    <row r="51" spans="1:15" x14ac:dyDescent="0.25">
      <c r="A51" s="239"/>
      <c r="B51" s="107" t="s">
        <v>49</v>
      </c>
      <c r="C51" s="108">
        <v>58643.88</v>
      </c>
      <c r="D51" s="96">
        <v>59415.51</v>
      </c>
      <c r="E51" s="96">
        <v>65588.55</v>
      </c>
      <c r="F51" s="96">
        <v>63273.659999999996</v>
      </c>
      <c r="G51" s="96">
        <v>90280.71</v>
      </c>
      <c r="H51" s="96">
        <v>101083.53</v>
      </c>
      <c r="I51" s="96">
        <v>113429.61</v>
      </c>
      <c r="J51" s="96">
        <v>108799.83</v>
      </c>
      <c r="K51" s="96">
        <v>85650.93</v>
      </c>
      <c r="L51" s="96">
        <v>75619.740000000005</v>
      </c>
      <c r="M51" s="96">
        <v>57100.62</v>
      </c>
      <c r="N51" s="96">
        <v>60187.14</v>
      </c>
      <c r="O51" s="109">
        <v>939073.71</v>
      </c>
    </row>
    <row r="52" spans="1:15" x14ac:dyDescent="0.25">
      <c r="A52" s="239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9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70</v>
      </c>
      <c r="C54" s="104">
        <v>2183299.2000000002</v>
      </c>
      <c r="D54" s="105">
        <v>2156219.52</v>
      </c>
      <c r="E54" s="105">
        <v>2119831.2000000002</v>
      </c>
      <c r="F54" s="105">
        <v>2230688.64</v>
      </c>
      <c r="G54" s="105">
        <v>2463404.64</v>
      </c>
      <c r="H54" s="105">
        <v>2965224.96</v>
      </c>
      <c r="I54" s="105">
        <v>3151397.7600000002</v>
      </c>
      <c r="J54" s="105">
        <v>3277487.52</v>
      </c>
      <c r="K54" s="105">
        <v>2834057.7600000002</v>
      </c>
      <c r="L54" s="105">
        <v>2360163.36</v>
      </c>
      <c r="M54" s="105">
        <v>2015743.68</v>
      </c>
      <c r="N54" s="105">
        <v>2126601.12</v>
      </c>
      <c r="O54" s="106">
        <v>29884119.360000003</v>
      </c>
    </row>
    <row r="55" spans="1:15" ht="13" x14ac:dyDescent="0.3">
      <c r="A55" s="239"/>
      <c r="B55" s="107" t="s">
        <v>25</v>
      </c>
      <c r="C55" s="244">
        <v>192493.80000000028</v>
      </c>
      <c r="D55" s="245">
        <v>190106.28000000003</v>
      </c>
      <c r="E55" s="245">
        <v>186898.05000000028</v>
      </c>
      <c r="F55" s="245">
        <v>196671.9600000002</v>
      </c>
      <c r="G55" s="245">
        <v>217189.70999999996</v>
      </c>
      <c r="H55" s="245">
        <v>261433.43999999994</v>
      </c>
      <c r="I55" s="245">
        <v>277847.64000000013</v>
      </c>
      <c r="J55" s="245">
        <v>288964.53000000026</v>
      </c>
      <c r="K55" s="245">
        <v>249868.89000000013</v>
      </c>
      <c r="L55" s="245">
        <v>208087.29000000004</v>
      </c>
      <c r="M55" s="245">
        <v>177721.02000000002</v>
      </c>
      <c r="N55" s="245">
        <v>187494.93000000017</v>
      </c>
      <c r="O55" s="246">
        <v>2634777.5400000014</v>
      </c>
    </row>
    <row r="56" spans="1:15" ht="13" x14ac:dyDescent="0.3">
      <c r="A56" s="239"/>
      <c r="B56" s="107" t="s">
        <v>26</v>
      </c>
      <c r="C56" s="244">
        <v>6482.3680212223935</v>
      </c>
      <c r="D56" s="245">
        <v>6401.9665573932789</v>
      </c>
      <c r="E56" s="245">
        <v>6293.9270903729057</v>
      </c>
      <c r="F56" s="245">
        <v>6623.0705829233448</v>
      </c>
      <c r="G56" s="245">
        <v>7314.0206627048019</v>
      </c>
      <c r="H56" s="245">
        <v>8803.9602892880866</v>
      </c>
      <c r="I56" s="245">
        <v>9356.7203531132527</v>
      </c>
      <c r="J56" s="245">
        <v>9731.089669067569</v>
      </c>
      <c r="K56" s="245">
        <v>8414.5156988658127</v>
      </c>
      <c r="L56" s="245">
        <v>7007.490081856301</v>
      </c>
      <c r="M56" s="245">
        <v>5984.8839637797446</v>
      </c>
      <c r="N56" s="245">
        <v>6314.0274563301837</v>
      </c>
      <c r="O56" s="246">
        <v>88728.04042691768</v>
      </c>
    </row>
    <row r="57" spans="1:15" ht="13" x14ac:dyDescent="0.3">
      <c r="A57" s="239"/>
      <c r="B57" s="107" t="s">
        <v>27</v>
      </c>
      <c r="C57" s="244">
        <v>198976.16802122266</v>
      </c>
      <c r="D57" s="245">
        <v>196508.24655739332</v>
      </c>
      <c r="E57" s="245">
        <v>193191.9770903732</v>
      </c>
      <c r="F57" s="245">
        <v>203295.03058292353</v>
      </c>
      <c r="G57" s="245">
        <v>224503.73066270477</v>
      </c>
      <c r="H57" s="245">
        <v>270237.40028928802</v>
      </c>
      <c r="I57" s="245">
        <v>287204.36035311338</v>
      </c>
      <c r="J57" s="245">
        <v>298695.61966906785</v>
      </c>
      <c r="K57" s="245">
        <v>258283.40569886594</v>
      </c>
      <c r="L57" s="245">
        <v>215094.78008185633</v>
      </c>
      <c r="M57" s="245">
        <v>183705.90396377977</v>
      </c>
      <c r="N57" s="245">
        <v>193808.95745633036</v>
      </c>
      <c r="O57" s="246">
        <v>2723505.5804269193</v>
      </c>
    </row>
    <row r="58" spans="1:15" x14ac:dyDescent="0.25">
      <c r="A58" s="239"/>
      <c r="B58" s="107" t="s">
        <v>49</v>
      </c>
      <c r="C58" s="108">
        <v>1990805.4</v>
      </c>
      <c r="D58" s="96">
        <v>1966113.24</v>
      </c>
      <c r="E58" s="96">
        <v>1932933.15</v>
      </c>
      <c r="F58" s="96">
        <v>2034016.68</v>
      </c>
      <c r="G58" s="96">
        <v>2246214.9300000002</v>
      </c>
      <c r="H58" s="96">
        <v>2703791.52</v>
      </c>
      <c r="I58" s="96">
        <v>2873550.12</v>
      </c>
      <c r="J58" s="96">
        <v>2988522.9899999998</v>
      </c>
      <c r="K58" s="96">
        <v>2584188.87</v>
      </c>
      <c r="L58" s="96">
        <v>2152076.0699999998</v>
      </c>
      <c r="M58" s="96">
        <v>1838022.66</v>
      </c>
      <c r="N58" s="96">
        <v>1939106.19</v>
      </c>
      <c r="O58" s="109">
        <v>27249341.82</v>
      </c>
    </row>
    <row r="59" spans="1:15" x14ac:dyDescent="0.25">
      <c r="A59" s="239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9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70</v>
      </c>
      <c r="C61" s="104">
        <v>2254383.36</v>
      </c>
      <c r="D61" s="105">
        <v>2367779.52</v>
      </c>
      <c r="E61" s="105">
        <v>2049593.28</v>
      </c>
      <c r="F61" s="105">
        <v>2173990.56</v>
      </c>
      <c r="G61" s="105">
        <v>2198531.52</v>
      </c>
      <c r="H61" s="105">
        <v>2680042.08</v>
      </c>
      <c r="I61" s="105">
        <v>2856906.24</v>
      </c>
      <c r="J61" s="105">
        <v>2927144.16</v>
      </c>
      <c r="K61" s="105">
        <v>2685119.52</v>
      </c>
      <c r="L61" s="105">
        <v>2167220.64</v>
      </c>
      <c r="M61" s="105">
        <v>1994587.68</v>
      </c>
      <c r="N61" s="105">
        <v>2311081.44</v>
      </c>
      <c r="O61" s="106">
        <v>28666380</v>
      </c>
    </row>
    <row r="62" spans="1:15" ht="13" x14ac:dyDescent="0.3">
      <c r="A62" s="239"/>
      <c r="B62" s="107" t="s">
        <v>25</v>
      </c>
      <c r="C62" s="244">
        <v>198761.0399999998</v>
      </c>
      <c r="D62" s="245">
        <v>208758.78000000026</v>
      </c>
      <c r="E62" s="245">
        <v>180705.41999999993</v>
      </c>
      <c r="F62" s="245">
        <v>191673.09000000008</v>
      </c>
      <c r="G62" s="245">
        <v>193836.78000000003</v>
      </c>
      <c r="H62" s="245">
        <v>236289.87000000011</v>
      </c>
      <c r="I62" s="245">
        <v>251883.36000000034</v>
      </c>
      <c r="J62" s="245">
        <v>258075.99000000022</v>
      </c>
      <c r="K62" s="245">
        <v>236737.53000000026</v>
      </c>
      <c r="L62" s="245">
        <v>191076.2100000002</v>
      </c>
      <c r="M62" s="245">
        <v>175855.77000000002</v>
      </c>
      <c r="N62" s="245">
        <v>203759.91000000015</v>
      </c>
      <c r="O62" s="246">
        <v>2527413.7500000014</v>
      </c>
    </row>
    <row r="63" spans="1:15" ht="13" x14ac:dyDescent="0.3">
      <c r="A63" s="239"/>
      <c r="B63" s="107" t="s">
        <v>26</v>
      </c>
      <c r="C63" s="244">
        <v>6693.4218637738204</v>
      </c>
      <c r="D63" s="245">
        <v>7030.1029935582383</v>
      </c>
      <c r="E63" s="245">
        <v>6085.3857935661381</v>
      </c>
      <c r="F63" s="245">
        <v>6454.7300180311358</v>
      </c>
      <c r="G63" s="245">
        <v>6527.5938446262708</v>
      </c>
      <c r="H63" s="245">
        <v>7957.2323733377216</v>
      </c>
      <c r="I63" s="245">
        <v>8482.3544339716282</v>
      </c>
      <c r="J63" s="245">
        <v>8690.8957307783949</v>
      </c>
      <c r="K63" s="245">
        <v>7972.3076478056801</v>
      </c>
      <c r="L63" s="245">
        <v>6434.629652073857</v>
      </c>
      <c r="M63" s="245">
        <v>5922.0703201632487</v>
      </c>
      <c r="N63" s="245">
        <v>6861.7624286660293</v>
      </c>
      <c r="O63" s="246">
        <v>85112.487100352155</v>
      </c>
    </row>
    <row r="64" spans="1:15" ht="13" x14ac:dyDescent="0.3">
      <c r="A64" s="239"/>
      <c r="B64" s="107" t="s">
        <v>27</v>
      </c>
      <c r="C64" s="244">
        <v>205454.46186377361</v>
      </c>
      <c r="D64" s="245">
        <v>215788.88299355851</v>
      </c>
      <c r="E64" s="245">
        <v>186790.80579356608</v>
      </c>
      <c r="F64" s="245">
        <v>198127.82001803123</v>
      </c>
      <c r="G64" s="245">
        <v>200364.3738446263</v>
      </c>
      <c r="H64" s="245">
        <v>244247.10237333784</v>
      </c>
      <c r="I64" s="245">
        <v>260365.71443397197</v>
      </c>
      <c r="J64" s="245">
        <v>266766.88573077862</v>
      </c>
      <c r="K64" s="245">
        <v>244709.83764780595</v>
      </c>
      <c r="L64" s="245">
        <v>197510.83965207406</v>
      </c>
      <c r="M64" s="245">
        <v>181777.84032016326</v>
      </c>
      <c r="N64" s="245">
        <v>210621.67242866618</v>
      </c>
      <c r="O64" s="246">
        <v>2612526.2371003539</v>
      </c>
    </row>
    <row r="65" spans="1:15" x14ac:dyDescent="0.25">
      <c r="A65" s="239"/>
      <c r="B65" s="107" t="s">
        <v>49</v>
      </c>
      <c r="C65" s="108">
        <v>2055622.32</v>
      </c>
      <c r="D65" s="96">
        <v>2159020.7399999998</v>
      </c>
      <c r="E65" s="96">
        <v>1868887.86</v>
      </c>
      <c r="F65" s="96">
        <v>1982317.47</v>
      </c>
      <c r="G65" s="96">
        <v>2004694.74</v>
      </c>
      <c r="H65" s="96">
        <v>2443752.21</v>
      </c>
      <c r="I65" s="96">
        <v>2605022.88</v>
      </c>
      <c r="J65" s="96">
        <v>2669068.17</v>
      </c>
      <c r="K65" s="96">
        <v>2448381.9899999998</v>
      </c>
      <c r="L65" s="96">
        <v>1976144.43</v>
      </c>
      <c r="M65" s="96">
        <v>1818731.91</v>
      </c>
      <c r="N65" s="96">
        <v>2107321.5299999998</v>
      </c>
      <c r="O65" s="109">
        <v>26138966.25</v>
      </c>
    </row>
    <row r="66" spans="1:15" x14ac:dyDescent="0.25">
      <c r="A66" s="239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9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70</v>
      </c>
      <c r="C68" s="104">
        <v>33849.599999999999</v>
      </c>
      <c r="D68" s="105">
        <v>35542.080000000002</v>
      </c>
      <c r="E68" s="105">
        <v>24540.959999999999</v>
      </c>
      <c r="F68" s="105">
        <v>27079.68</v>
      </c>
      <c r="G68" s="105">
        <v>20309.760000000002</v>
      </c>
      <c r="H68" s="105">
        <v>27079.68</v>
      </c>
      <c r="I68" s="105">
        <v>35542.080000000002</v>
      </c>
      <c r="J68" s="105">
        <v>33003.360000000001</v>
      </c>
      <c r="K68" s="105">
        <v>30464.639999999999</v>
      </c>
      <c r="L68" s="105">
        <v>28772.16</v>
      </c>
      <c r="M68" s="105">
        <v>31310.880000000001</v>
      </c>
      <c r="N68" s="105">
        <v>34695.840000000004</v>
      </c>
      <c r="O68" s="106">
        <v>362190.72</v>
      </c>
    </row>
    <row r="69" spans="1:15" ht="13" x14ac:dyDescent="0.3">
      <c r="A69" s="239"/>
      <c r="B69" s="107" t="s">
        <v>25</v>
      </c>
      <c r="C69" s="244">
        <v>2984.3999999999978</v>
      </c>
      <c r="D69" s="245">
        <v>3133.6200000000026</v>
      </c>
      <c r="E69" s="245">
        <v>2163.6899999999987</v>
      </c>
      <c r="F69" s="245">
        <v>2387.5200000000004</v>
      </c>
      <c r="G69" s="245">
        <v>1790.6400000000031</v>
      </c>
      <c r="H69" s="245">
        <v>2387.5200000000004</v>
      </c>
      <c r="I69" s="245">
        <v>3133.6200000000026</v>
      </c>
      <c r="J69" s="245">
        <v>2909.7900000000009</v>
      </c>
      <c r="K69" s="245">
        <v>2685.9599999999991</v>
      </c>
      <c r="L69" s="245">
        <v>2536.7400000000016</v>
      </c>
      <c r="M69" s="245">
        <v>2760.5699999999997</v>
      </c>
      <c r="N69" s="245">
        <v>3059.0100000000057</v>
      </c>
      <c r="O69" s="246">
        <v>31933.080000000013</v>
      </c>
    </row>
    <row r="70" spans="1:15" ht="13" x14ac:dyDescent="0.3">
      <c r="A70" s="239"/>
      <c r="B70" s="107" t="s">
        <v>26</v>
      </c>
      <c r="C70" s="244">
        <v>100.5018297863937</v>
      </c>
      <c r="D70" s="245">
        <v>105.52692127571338</v>
      </c>
      <c r="E70" s="245">
        <v>72.863826595135436</v>
      </c>
      <c r="F70" s="245">
        <v>80.401463829114959</v>
      </c>
      <c r="G70" s="245">
        <v>60.301097871836213</v>
      </c>
      <c r="H70" s="245">
        <v>80.401463829114959</v>
      </c>
      <c r="I70" s="245">
        <v>105.52692127571338</v>
      </c>
      <c r="J70" s="245">
        <v>97.989284041733853</v>
      </c>
      <c r="K70" s="245">
        <v>90.451646807754329</v>
      </c>
      <c r="L70" s="245">
        <v>85.426555318434652</v>
      </c>
      <c r="M70" s="245">
        <v>92.964192552414175</v>
      </c>
      <c r="N70" s="245">
        <v>103.01437553105355</v>
      </c>
      <c r="O70" s="246">
        <v>1075.3695787144125</v>
      </c>
    </row>
    <row r="71" spans="1:15" ht="13" x14ac:dyDescent="0.3">
      <c r="A71" s="239"/>
      <c r="B71" s="107" t="s">
        <v>27</v>
      </c>
      <c r="C71" s="244">
        <v>3084.9018297863913</v>
      </c>
      <c r="D71" s="245">
        <v>3239.1469212757161</v>
      </c>
      <c r="E71" s="245">
        <v>2236.5538265951341</v>
      </c>
      <c r="F71" s="245">
        <v>2467.9214638291155</v>
      </c>
      <c r="G71" s="245">
        <v>1850.9410978718392</v>
      </c>
      <c r="H71" s="245">
        <v>2467.9214638291155</v>
      </c>
      <c r="I71" s="245">
        <v>3239.1469212757161</v>
      </c>
      <c r="J71" s="245">
        <v>3007.7792840417346</v>
      </c>
      <c r="K71" s="245">
        <v>2776.4116468077536</v>
      </c>
      <c r="L71" s="245">
        <v>2622.1665553184362</v>
      </c>
      <c r="M71" s="245">
        <v>2853.534192552414</v>
      </c>
      <c r="N71" s="245">
        <v>3162.0243755310594</v>
      </c>
      <c r="O71" s="246">
        <v>33008.449578714433</v>
      </c>
    </row>
    <row r="72" spans="1:15" x14ac:dyDescent="0.25">
      <c r="A72" s="239"/>
      <c r="B72" s="107" t="s">
        <v>49</v>
      </c>
      <c r="C72" s="108">
        <v>30865.200000000001</v>
      </c>
      <c r="D72" s="96">
        <v>32408.46</v>
      </c>
      <c r="E72" s="96">
        <v>22377.27</v>
      </c>
      <c r="F72" s="96">
        <v>24692.16</v>
      </c>
      <c r="G72" s="96">
        <v>18519.12</v>
      </c>
      <c r="H72" s="96">
        <v>24692.16</v>
      </c>
      <c r="I72" s="96">
        <v>32408.46</v>
      </c>
      <c r="J72" s="96">
        <v>30093.57</v>
      </c>
      <c r="K72" s="96">
        <v>27778.68</v>
      </c>
      <c r="L72" s="96">
        <v>26235.42</v>
      </c>
      <c r="M72" s="96">
        <v>28550.31</v>
      </c>
      <c r="N72" s="96">
        <v>31636.829999999998</v>
      </c>
      <c r="O72" s="109">
        <v>330257.64</v>
      </c>
    </row>
    <row r="73" spans="1:15" x14ac:dyDescent="0.25">
      <c r="A73" s="239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9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54</v>
      </c>
      <c r="B75" s="97" t="s">
        <v>70</v>
      </c>
      <c r="C75" s="104">
        <v>92240.16</v>
      </c>
      <c r="D75" s="105">
        <v>88008.960000000006</v>
      </c>
      <c r="E75" s="105">
        <v>73622.880000000005</v>
      </c>
      <c r="F75" s="105">
        <v>86316.479999999996</v>
      </c>
      <c r="G75" s="105">
        <v>77854.080000000002</v>
      </c>
      <c r="H75" s="105">
        <v>121012.32</v>
      </c>
      <c r="I75" s="105">
        <v>116781.12</v>
      </c>
      <c r="J75" s="105">
        <v>128628.48</v>
      </c>
      <c r="K75" s="105">
        <v>115088.64</v>
      </c>
      <c r="L75" s="105">
        <v>90547.680000000008</v>
      </c>
      <c r="M75" s="105">
        <v>80392.800000000003</v>
      </c>
      <c r="N75" s="105">
        <v>83777.759999999995</v>
      </c>
      <c r="O75" s="106">
        <v>1154271.3600000001</v>
      </c>
    </row>
    <row r="76" spans="1:15" x14ac:dyDescent="0.25">
      <c r="A76" s="239"/>
      <c r="B76" s="107" t="s">
        <v>25</v>
      </c>
      <c r="C76" s="108">
        <v>8132.4900000000052</v>
      </c>
      <c r="D76" s="96">
        <v>7759.4400000000023</v>
      </c>
      <c r="E76" s="96">
        <v>6491.070000000007</v>
      </c>
      <c r="F76" s="96">
        <v>7610.2200000000012</v>
      </c>
      <c r="G76" s="96">
        <v>6864.1199999999953</v>
      </c>
      <c r="H76" s="96">
        <v>10669.23000000001</v>
      </c>
      <c r="I76" s="96">
        <v>10296.179999999993</v>
      </c>
      <c r="J76" s="96">
        <v>11340.720000000001</v>
      </c>
      <c r="K76" s="96">
        <v>10146.960000000006</v>
      </c>
      <c r="L76" s="96">
        <v>7983.2700000000041</v>
      </c>
      <c r="M76" s="96">
        <v>7087.9499999999971</v>
      </c>
      <c r="N76" s="96">
        <v>7386.3899999999994</v>
      </c>
      <c r="O76" s="109">
        <v>101768.04000000002</v>
      </c>
    </row>
    <row r="77" spans="1:15" x14ac:dyDescent="0.25">
      <c r="A77" s="239"/>
      <c r="B77" s="107" t="s">
        <v>26</v>
      </c>
      <c r="C77" s="108">
        <v>273.86748616792278</v>
      </c>
      <c r="D77" s="96">
        <v>261.30475744462365</v>
      </c>
      <c r="E77" s="96">
        <v>218.59147978540628</v>
      </c>
      <c r="F77" s="96">
        <v>256.27966595530393</v>
      </c>
      <c r="G77" s="96">
        <v>231.15420850870549</v>
      </c>
      <c r="H77" s="96">
        <v>359.29404148635746</v>
      </c>
      <c r="I77" s="96">
        <v>346.73131276305821</v>
      </c>
      <c r="J77" s="96">
        <v>381.90695318829609</v>
      </c>
      <c r="K77" s="96">
        <v>341.70622127373861</v>
      </c>
      <c r="L77" s="96">
        <v>268.84239467860317</v>
      </c>
      <c r="M77" s="96">
        <v>238.69184574268502</v>
      </c>
      <c r="N77" s="96">
        <v>248.7420287213244</v>
      </c>
      <c r="O77" s="109">
        <v>3427.1123957160253</v>
      </c>
    </row>
    <row r="78" spans="1:15" x14ac:dyDescent="0.25">
      <c r="A78" s="239"/>
      <c r="B78" s="107" t="s">
        <v>27</v>
      </c>
      <c r="C78" s="108">
        <v>8406.3574861679281</v>
      </c>
      <c r="D78" s="96">
        <v>8020.744757444626</v>
      </c>
      <c r="E78" s="96">
        <v>6709.6614797854136</v>
      </c>
      <c r="F78" s="96">
        <v>7866.4996659553053</v>
      </c>
      <c r="G78" s="96">
        <v>7095.2742085087011</v>
      </c>
      <c r="H78" s="96">
        <v>11028.524041486367</v>
      </c>
      <c r="I78" s="96">
        <v>10642.911312763052</v>
      </c>
      <c r="J78" s="96">
        <v>11722.626953188297</v>
      </c>
      <c r="K78" s="96">
        <v>10488.666221273745</v>
      </c>
      <c r="L78" s="96">
        <v>8252.1123946786065</v>
      </c>
      <c r="M78" s="96">
        <v>7326.6418457426826</v>
      </c>
      <c r="N78" s="96">
        <v>7635.1320287213239</v>
      </c>
      <c r="O78" s="109">
        <v>105195.15239571605</v>
      </c>
    </row>
    <row r="79" spans="1:15" x14ac:dyDescent="0.25">
      <c r="A79" s="239"/>
      <c r="B79" s="107" t="s">
        <v>49</v>
      </c>
      <c r="C79" s="108">
        <v>84107.67</v>
      </c>
      <c r="D79" s="96">
        <v>80249.52</v>
      </c>
      <c r="E79" s="96">
        <v>67131.81</v>
      </c>
      <c r="F79" s="96">
        <v>78706.259999999995</v>
      </c>
      <c r="G79" s="96">
        <v>70989.960000000006</v>
      </c>
      <c r="H79" s="96">
        <v>110343.09</v>
      </c>
      <c r="I79" s="96">
        <v>106484.94</v>
      </c>
      <c r="J79" s="96">
        <v>117287.76</v>
      </c>
      <c r="K79" s="96">
        <v>104941.68</v>
      </c>
      <c r="L79" s="96">
        <v>82564.41</v>
      </c>
      <c r="M79" s="96">
        <v>73304.850000000006</v>
      </c>
      <c r="N79" s="96">
        <v>76391.37</v>
      </c>
      <c r="O79" s="109">
        <v>1052503.3199999998</v>
      </c>
    </row>
    <row r="80" spans="1:15" x14ac:dyDescent="0.25">
      <c r="A80" s="239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9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55</v>
      </c>
      <c r="B82" s="97" t="s">
        <v>70</v>
      </c>
      <c r="C82" s="104">
        <v>9308.64</v>
      </c>
      <c r="D82" s="105">
        <v>8462.4</v>
      </c>
      <c r="E82" s="105">
        <v>8462.4</v>
      </c>
      <c r="F82" s="105">
        <v>5923.68</v>
      </c>
      <c r="G82" s="105">
        <v>11001.12</v>
      </c>
      <c r="H82" s="105">
        <v>10154.880000000001</v>
      </c>
      <c r="I82" s="105">
        <v>12693.6</v>
      </c>
      <c r="J82" s="105">
        <v>10154.880000000001</v>
      </c>
      <c r="K82" s="105">
        <v>11847.36</v>
      </c>
      <c r="L82" s="105">
        <v>9308.64</v>
      </c>
      <c r="M82" s="105">
        <v>7616.16</v>
      </c>
      <c r="N82" s="105">
        <v>6769.92</v>
      </c>
      <c r="O82" s="106">
        <v>111703.68000000002</v>
      </c>
    </row>
    <row r="83" spans="1:15" x14ac:dyDescent="0.25">
      <c r="A83" s="239"/>
      <c r="B83" s="107" t="s">
        <v>25</v>
      </c>
      <c r="C83" s="108">
        <v>820.70999999999913</v>
      </c>
      <c r="D83" s="96">
        <v>746.09999999999945</v>
      </c>
      <c r="E83" s="96">
        <v>746.09999999999945</v>
      </c>
      <c r="F83" s="96">
        <v>522.27000000000044</v>
      </c>
      <c r="G83" s="96">
        <v>969.93000000000029</v>
      </c>
      <c r="H83" s="96">
        <v>895.32000000000153</v>
      </c>
      <c r="I83" s="96">
        <v>1119.1499999999996</v>
      </c>
      <c r="J83" s="96">
        <v>895.32000000000153</v>
      </c>
      <c r="K83" s="96">
        <v>1044.5400000000009</v>
      </c>
      <c r="L83" s="96">
        <v>820.70999999999913</v>
      </c>
      <c r="M83" s="96">
        <v>671.48999999999978</v>
      </c>
      <c r="N83" s="96">
        <v>596.88000000000011</v>
      </c>
      <c r="O83" s="109">
        <v>9848.52</v>
      </c>
    </row>
    <row r="84" spans="1:15" x14ac:dyDescent="0.25">
      <c r="A84" s="239"/>
      <c r="B84" s="107" t="s">
        <v>26</v>
      </c>
      <c r="C84" s="108">
        <v>27.638003191258267</v>
      </c>
      <c r="D84" s="96">
        <v>25.125457446598425</v>
      </c>
      <c r="E84" s="96">
        <v>25.125457446598425</v>
      </c>
      <c r="F84" s="96">
        <v>17.587820212618897</v>
      </c>
      <c r="G84" s="96">
        <v>32.663094680577956</v>
      </c>
      <c r="H84" s="96">
        <v>30.150548935918106</v>
      </c>
      <c r="I84" s="96">
        <v>37.688186169897641</v>
      </c>
      <c r="J84" s="96">
        <v>30.150548935918106</v>
      </c>
      <c r="K84" s="96">
        <v>35.175640425237795</v>
      </c>
      <c r="L84" s="96">
        <v>27.638003191258267</v>
      </c>
      <c r="M84" s="96">
        <v>22.612911701938582</v>
      </c>
      <c r="N84" s="96">
        <v>20.10036595727874</v>
      </c>
      <c r="O84" s="109">
        <v>331.65603829509917</v>
      </c>
    </row>
    <row r="85" spans="1:15" x14ac:dyDescent="0.25">
      <c r="A85" s="239"/>
      <c r="B85" s="107" t="s">
        <v>27</v>
      </c>
      <c r="C85" s="108">
        <v>848.34800319125736</v>
      </c>
      <c r="D85" s="96">
        <v>771.22545744659783</v>
      </c>
      <c r="E85" s="96">
        <v>771.22545744659783</v>
      </c>
      <c r="F85" s="96">
        <v>539.85782021261934</v>
      </c>
      <c r="G85" s="96">
        <v>1002.5930946805782</v>
      </c>
      <c r="H85" s="96">
        <v>925.47054893591962</v>
      </c>
      <c r="I85" s="96">
        <v>1156.8381861698972</v>
      </c>
      <c r="J85" s="96">
        <v>925.47054893591962</v>
      </c>
      <c r="K85" s="96">
        <v>1079.7156404252387</v>
      </c>
      <c r="L85" s="96">
        <v>848.34800319125736</v>
      </c>
      <c r="M85" s="96">
        <v>694.10291170193841</v>
      </c>
      <c r="N85" s="96">
        <v>616.98036595727888</v>
      </c>
      <c r="O85" s="109">
        <v>10180.1760382951</v>
      </c>
    </row>
    <row r="86" spans="1:15" x14ac:dyDescent="0.25">
      <c r="A86" s="239"/>
      <c r="B86" s="107" t="s">
        <v>49</v>
      </c>
      <c r="C86" s="108">
        <v>8487.93</v>
      </c>
      <c r="D86" s="96">
        <v>7716.3</v>
      </c>
      <c r="E86" s="96">
        <v>7716.3</v>
      </c>
      <c r="F86" s="96">
        <v>5401.41</v>
      </c>
      <c r="G86" s="96">
        <v>10031.19</v>
      </c>
      <c r="H86" s="96">
        <v>9259.56</v>
      </c>
      <c r="I86" s="96">
        <v>11574.45</v>
      </c>
      <c r="J86" s="96">
        <v>9259.56</v>
      </c>
      <c r="K86" s="96">
        <v>10802.82</v>
      </c>
      <c r="L86" s="96">
        <v>8487.93</v>
      </c>
      <c r="M86" s="96">
        <v>6944.67</v>
      </c>
      <c r="N86" s="96">
        <v>6173.04</v>
      </c>
      <c r="O86" s="109">
        <v>101855.15999999997</v>
      </c>
    </row>
    <row r="87" spans="1:15" x14ac:dyDescent="0.25">
      <c r="A87" s="239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9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56</v>
      </c>
      <c r="B89" s="97" t="s">
        <v>70</v>
      </c>
      <c r="C89" s="104">
        <v>16924.8</v>
      </c>
      <c r="D89" s="105">
        <v>16078.56</v>
      </c>
      <c r="E89" s="105">
        <v>16078.56</v>
      </c>
      <c r="F89" s="105">
        <v>17771.04</v>
      </c>
      <c r="G89" s="105">
        <v>19463.52</v>
      </c>
      <c r="H89" s="105">
        <v>24540.959999999999</v>
      </c>
      <c r="I89" s="105">
        <v>27925.920000000002</v>
      </c>
      <c r="J89" s="105">
        <v>28772.16</v>
      </c>
      <c r="K89" s="105">
        <v>25387.200000000001</v>
      </c>
      <c r="L89" s="105">
        <v>17771.04</v>
      </c>
      <c r="M89" s="105">
        <v>13539.84</v>
      </c>
      <c r="N89" s="105">
        <v>16078.56</v>
      </c>
      <c r="O89" s="106">
        <v>240332.16000000003</v>
      </c>
    </row>
    <row r="90" spans="1:15" x14ac:dyDescent="0.25">
      <c r="A90" s="239"/>
      <c r="B90" s="107" t="s">
        <v>25</v>
      </c>
      <c r="C90" s="108">
        <v>1492.1999999999989</v>
      </c>
      <c r="D90" s="96">
        <v>1417.5900000000001</v>
      </c>
      <c r="E90" s="96">
        <v>1417.5900000000001</v>
      </c>
      <c r="F90" s="96">
        <v>1566.8100000000013</v>
      </c>
      <c r="G90" s="96">
        <v>1716.0299999999988</v>
      </c>
      <c r="H90" s="96">
        <v>2163.6899999999987</v>
      </c>
      <c r="I90" s="96">
        <v>2462.130000000001</v>
      </c>
      <c r="J90" s="96">
        <v>2536.7400000000016</v>
      </c>
      <c r="K90" s="96">
        <v>2238.2999999999993</v>
      </c>
      <c r="L90" s="96">
        <v>1566.8100000000013</v>
      </c>
      <c r="M90" s="96">
        <v>1193.7600000000002</v>
      </c>
      <c r="N90" s="96">
        <v>1417.5900000000001</v>
      </c>
      <c r="O90" s="109">
        <v>21189.24</v>
      </c>
    </row>
    <row r="91" spans="1:15" x14ac:dyDescent="0.25">
      <c r="A91" s="239"/>
      <c r="B91" s="107" t="s">
        <v>26</v>
      </c>
      <c r="C91" s="108">
        <v>50.25091489319685</v>
      </c>
      <c r="D91" s="96">
        <v>47.738369148537011</v>
      </c>
      <c r="E91" s="96">
        <v>47.738369148537011</v>
      </c>
      <c r="F91" s="96">
        <v>52.763460637856689</v>
      </c>
      <c r="G91" s="96">
        <v>57.788552127176374</v>
      </c>
      <c r="H91" s="96">
        <v>72.863826595135436</v>
      </c>
      <c r="I91" s="96">
        <v>82.914009573774806</v>
      </c>
      <c r="J91" s="96">
        <v>85.426555318434652</v>
      </c>
      <c r="K91" s="96">
        <v>75.376372339795282</v>
      </c>
      <c r="L91" s="96">
        <v>52.763460637856689</v>
      </c>
      <c r="M91" s="96">
        <v>40.20073191455748</v>
      </c>
      <c r="N91" s="96">
        <v>47.738369148537011</v>
      </c>
      <c r="O91" s="109">
        <v>713.56299148339531</v>
      </c>
    </row>
    <row r="92" spans="1:15" x14ac:dyDescent="0.25">
      <c r="A92" s="239"/>
      <c r="B92" s="107" t="s">
        <v>27</v>
      </c>
      <c r="C92" s="108">
        <v>1542.4509148931957</v>
      </c>
      <c r="D92" s="96">
        <v>1465.3283691485371</v>
      </c>
      <c r="E92" s="96">
        <v>1465.3283691485371</v>
      </c>
      <c r="F92" s="96">
        <v>1619.573460637858</v>
      </c>
      <c r="G92" s="96">
        <v>1773.8185521271753</v>
      </c>
      <c r="H92" s="96">
        <v>2236.5538265951341</v>
      </c>
      <c r="I92" s="96">
        <v>2545.0440095737758</v>
      </c>
      <c r="J92" s="96">
        <v>2622.1665553184362</v>
      </c>
      <c r="K92" s="96">
        <v>2313.6763723397944</v>
      </c>
      <c r="L92" s="96">
        <v>1619.573460637858</v>
      </c>
      <c r="M92" s="96">
        <v>1233.9607319145578</v>
      </c>
      <c r="N92" s="96">
        <v>1465.3283691485371</v>
      </c>
      <c r="O92" s="109">
        <v>21902.802991483397</v>
      </c>
    </row>
    <row r="93" spans="1:15" x14ac:dyDescent="0.25">
      <c r="A93" s="239"/>
      <c r="B93" s="107" t="s">
        <v>49</v>
      </c>
      <c r="C93" s="108">
        <v>15432.6</v>
      </c>
      <c r="D93" s="96">
        <v>14660.97</v>
      </c>
      <c r="E93" s="96">
        <v>14660.97</v>
      </c>
      <c r="F93" s="96">
        <v>16204.23</v>
      </c>
      <c r="G93" s="96">
        <v>17747.490000000002</v>
      </c>
      <c r="H93" s="96">
        <v>22377.27</v>
      </c>
      <c r="I93" s="96">
        <v>25463.79</v>
      </c>
      <c r="J93" s="96">
        <v>26235.42</v>
      </c>
      <c r="K93" s="96">
        <v>23148.9</v>
      </c>
      <c r="L93" s="96">
        <v>16204.23</v>
      </c>
      <c r="M93" s="96">
        <v>12346.08</v>
      </c>
      <c r="N93" s="96">
        <v>14660.97</v>
      </c>
      <c r="O93" s="109">
        <v>219142.91999999998</v>
      </c>
    </row>
    <row r="94" spans="1:15" x14ac:dyDescent="0.25">
      <c r="A94" s="239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9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57</v>
      </c>
      <c r="B96" s="97" t="s">
        <v>70</v>
      </c>
      <c r="C96" s="104">
        <v>29618.400000000001</v>
      </c>
      <c r="D96" s="105">
        <v>28772.16</v>
      </c>
      <c r="E96" s="105">
        <v>25387.200000000001</v>
      </c>
      <c r="F96" s="105">
        <v>27079.68</v>
      </c>
      <c r="G96" s="105">
        <v>30464.639999999999</v>
      </c>
      <c r="H96" s="105">
        <v>35542.080000000002</v>
      </c>
      <c r="I96" s="105">
        <v>39773.279999999999</v>
      </c>
      <c r="J96" s="105">
        <v>40619.520000000004</v>
      </c>
      <c r="K96" s="105">
        <v>37234.559999999998</v>
      </c>
      <c r="L96" s="105">
        <v>25387.200000000001</v>
      </c>
      <c r="M96" s="105">
        <v>26233.439999999999</v>
      </c>
      <c r="N96" s="105">
        <v>28772.16</v>
      </c>
      <c r="O96" s="106">
        <v>374884.32</v>
      </c>
    </row>
    <row r="97" spans="1:15" x14ac:dyDescent="0.25">
      <c r="A97" s="239"/>
      <c r="B97" s="107" t="s">
        <v>25</v>
      </c>
      <c r="C97" s="108">
        <v>2611.3500000000022</v>
      </c>
      <c r="D97" s="96">
        <v>2536.7400000000016</v>
      </c>
      <c r="E97" s="96">
        <v>2238.2999999999993</v>
      </c>
      <c r="F97" s="96">
        <v>2387.5200000000004</v>
      </c>
      <c r="G97" s="96">
        <v>2685.9599999999991</v>
      </c>
      <c r="H97" s="96">
        <v>3133.6200000000026</v>
      </c>
      <c r="I97" s="96">
        <v>3506.6699999999983</v>
      </c>
      <c r="J97" s="96">
        <v>3581.2800000000061</v>
      </c>
      <c r="K97" s="96">
        <v>3282.8399999999965</v>
      </c>
      <c r="L97" s="96">
        <v>2238.2999999999993</v>
      </c>
      <c r="M97" s="96">
        <v>2312.91</v>
      </c>
      <c r="N97" s="96">
        <v>2536.7400000000016</v>
      </c>
      <c r="O97" s="109">
        <v>33052.23000000001</v>
      </c>
    </row>
    <row r="98" spans="1:15" x14ac:dyDescent="0.25">
      <c r="A98" s="239"/>
      <c r="B98" s="107" t="s">
        <v>26</v>
      </c>
      <c r="C98" s="108">
        <v>87.939101063094483</v>
      </c>
      <c r="D98" s="96">
        <v>85.426555318434652</v>
      </c>
      <c r="E98" s="96">
        <v>75.376372339795282</v>
      </c>
      <c r="F98" s="96">
        <v>80.401463829114959</v>
      </c>
      <c r="G98" s="96">
        <v>90.451646807754329</v>
      </c>
      <c r="H98" s="96">
        <v>105.52692127571338</v>
      </c>
      <c r="I98" s="96">
        <v>118.08964999901261</v>
      </c>
      <c r="J98" s="96">
        <v>120.60219574367243</v>
      </c>
      <c r="K98" s="96">
        <v>110.55201276503307</v>
      </c>
      <c r="L98" s="96">
        <v>75.376372339795282</v>
      </c>
      <c r="M98" s="96">
        <v>77.888918084455113</v>
      </c>
      <c r="N98" s="96">
        <v>85.426555318434652</v>
      </c>
      <c r="O98" s="109">
        <v>1113.05776488431</v>
      </c>
    </row>
    <row r="99" spans="1:15" x14ac:dyDescent="0.25">
      <c r="A99" s="239"/>
      <c r="B99" s="107" t="s">
        <v>27</v>
      </c>
      <c r="C99" s="108">
        <v>2699.2891010630965</v>
      </c>
      <c r="D99" s="96">
        <v>2622.1665553184362</v>
      </c>
      <c r="E99" s="96">
        <v>2313.6763723397944</v>
      </c>
      <c r="F99" s="96">
        <v>2467.9214638291155</v>
      </c>
      <c r="G99" s="96">
        <v>2776.4116468077536</v>
      </c>
      <c r="H99" s="96">
        <v>3239.1469212757161</v>
      </c>
      <c r="I99" s="96">
        <v>3624.7596499990109</v>
      </c>
      <c r="J99" s="96">
        <v>3701.8821957436785</v>
      </c>
      <c r="K99" s="96">
        <v>3393.3920127650294</v>
      </c>
      <c r="L99" s="96">
        <v>2313.6763723397944</v>
      </c>
      <c r="M99" s="96">
        <v>2390.7989180844552</v>
      </c>
      <c r="N99" s="96">
        <v>2622.1665553184362</v>
      </c>
      <c r="O99" s="109">
        <v>34165.28776488432</v>
      </c>
    </row>
    <row r="100" spans="1:15" x14ac:dyDescent="0.25">
      <c r="A100" s="239"/>
      <c r="B100" s="107" t="s">
        <v>49</v>
      </c>
      <c r="C100" s="108">
        <v>27007.05</v>
      </c>
      <c r="D100" s="96">
        <v>26235.42</v>
      </c>
      <c r="E100" s="96">
        <v>23148.9</v>
      </c>
      <c r="F100" s="96">
        <v>24692.16</v>
      </c>
      <c r="G100" s="96">
        <v>27778.68</v>
      </c>
      <c r="H100" s="96">
        <v>32408.46</v>
      </c>
      <c r="I100" s="96">
        <v>36266.61</v>
      </c>
      <c r="J100" s="96">
        <v>37038.239999999998</v>
      </c>
      <c r="K100" s="96">
        <v>33951.72</v>
      </c>
      <c r="L100" s="96">
        <v>23148.9</v>
      </c>
      <c r="M100" s="96">
        <v>23920.53</v>
      </c>
      <c r="N100" s="96">
        <v>26235.42</v>
      </c>
      <c r="O100" s="109">
        <v>341832.09</v>
      </c>
    </row>
    <row r="101" spans="1:15" x14ac:dyDescent="0.25">
      <c r="A101" s="239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9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81</v>
      </c>
      <c r="B103" s="97" t="s">
        <v>70</v>
      </c>
      <c r="C103" s="104">
        <v>122704.8</v>
      </c>
      <c r="D103" s="105">
        <v>123551.04000000001</v>
      </c>
      <c r="E103" s="105">
        <v>82085.279999999999</v>
      </c>
      <c r="F103" s="105">
        <v>79546.559999999998</v>
      </c>
      <c r="G103" s="105">
        <v>89701.440000000002</v>
      </c>
      <c r="H103" s="105">
        <v>111703.68000000001</v>
      </c>
      <c r="I103" s="105">
        <v>117627.36</v>
      </c>
      <c r="J103" s="105">
        <v>115088.64</v>
      </c>
      <c r="K103" s="105">
        <v>98163.839999999997</v>
      </c>
      <c r="L103" s="105">
        <v>66006.720000000001</v>
      </c>
      <c r="M103" s="105">
        <v>92240.16</v>
      </c>
      <c r="N103" s="105">
        <v>121012.32</v>
      </c>
      <c r="O103" s="106">
        <v>1219431.8400000001</v>
      </c>
    </row>
    <row r="104" spans="1:15" x14ac:dyDescent="0.25">
      <c r="A104" s="239"/>
      <c r="B104" s="107" t="s">
        <v>25</v>
      </c>
      <c r="C104" s="108">
        <v>10818.449999999997</v>
      </c>
      <c r="D104" s="96">
        <v>10893.060000000012</v>
      </c>
      <c r="E104" s="96">
        <v>7237.1699999999983</v>
      </c>
      <c r="F104" s="96">
        <v>7013.3399999999965</v>
      </c>
      <c r="G104" s="96">
        <v>7908.6600000000035</v>
      </c>
      <c r="H104" s="96">
        <v>9848.5200000000041</v>
      </c>
      <c r="I104" s="96">
        <v>10370.790000000008</v>
      </c>
      <c r="J104" s="96">
        <v>10146.960000000006</v>
      </c>
      <c r="K104" s="96">
        <v>8654.7599999999948</v>
      </c>
      <c r="L104" s="96">
        <v>5819.5800000000017</v>
      </c>
      <c r="M104" s="96">
        <v>8132.4900000000052</v>
      </c>
      <c r="N104" s="96">
        <v>10669.23000000001</v>
      </c>
      <c r="O104" s="109">
        <v>107513.01000000004</v>
      </c>
    </row>
    <row r="105" spans="1:15" x14ac:dyDescent="0.25">
      <c r="A105" s="239"/>
      <c r="B105" s="107" t="s">
        <v>26</v>
      </c>
      <c r="C105" s="108">
        <v>364.31913297567718</v>
      </c>
      <c r="D105" s="96">
        <v>366.83167872033698</v>
      </c>
      <c r="E105" s="96">
        <v>243.71693723200471</v>
      </c>
      <c r="F105" s="96">
        <v>236.17929999802521</v>
      </c>
      <c r="G105" s="96">
        <v>266.32984893394331</v>
      </c>
      <c r="H105" s="96">
        <v>331.65603829509922</v>
      </c>
      <c r="I105" s="96">
        <v>349.24385850771807</v>
      </c>
      <c r="J105" s="96">
        <v>341.70622127373861</v>
      </c>
      <c r="K105" s="96">
        <v>291.45530638054174</v>
      </c>
      <c r="L105" s="96">
        <v>195.97856808346771</v>
      </c>
      <c r="M105" s="96">
        <v>273.86748616792278</v>
      </c>
      <c r="N105" s="96">
        <v>359.29404148635746</v>
      </c>
      <c r="O105" s="109">
        <v>3620.578418054833</v>
      </c>
    </row>
    <row r="106" spans="1:15" x14ac:dyDescent="0.25">
      <c r="A106" s="239"/>
      <c r="B106" s="107" t="s">
        <v>27</v>
      </c>
      <c r="C106" s="108">
        <v>11182.769132975674</v>
      </c>
      <c r="D106" s="96">
        <v>11259.891678720349</v>
      </c>
      <c r="E106" s="96">
        <v>7480.8869372320032</v>
      </c>
      <c r="F106" s="96">
        <v>7249.5192999980218</v>
      </c>
      <c r="G106" s="96">
        <v>8174.9898489339466</v>
      </c>
      <c r="H106" s="96">
        <v>10180.176038295103</v>
      </c>
      <c r="I106" s="96">
        <v>10720.033858507726</v>
      </c>
      <c r="J106" s="96">
        <v>10488.666221273745</v>
      </c>
      <c r="K106" s="96">
        <v>8946.2153063805363</v>
      </c>
      <c r="L106" s="96">
        <v>6015.5585680834693</v>
      </c>
      <c r="M106" s="96">
        <v>8406.3574861679281</v>
      </c>
      <c r="N106" s="96">
        <v>11028.524041486367</v>
      </c>
      <c r="O106" s="109">
        <v>111133.58841805486</v>
      </c>
    </row>
    <row r="107" spans="1:15" x14ac:dyDescent="0.25">
      <c r="A107" s="239"/>
      <c r="B107" s="107" t="s">
        <v>49</v>
      </c>
      <c r="C107" s="108">
        <v>111886.35</v>
      </c>
      <c r="D107" s="96">
        <v>112657.98</v>
      </c>
      <c r="E107" s="96">
        <v>74848.11</v>
      </c>
      <c r="F107" s="96">
        <v>72533.22</v>
      </c>
      <c r="G107" s="96">
        <v>81792.78</v>
      </c>
      <c r="H107" s="96">
        <v>101855.16</v>
      </c>
      <c r="I107" s="96">
        <v>107256.56999999999</v>
      </c>
      <c r="J107" s="96">
        <v>104941.68</v>
      </c>
      <c r="K107" s="96">
        <v>89509.08</v>
      </c>
      <c r="L107" s="96">
        <v>60187.14</v>
      </c>
      <c r="M107" s="96">
        <v>84107.67</v>
      </c>
      <c r="N107" s="96">
        <v>110343.09</v>
      </c>
      <c r="O107" s="109">
        <v>1111918.83</v>
      </c>
    </row>
    <row r="108" spans="1:15" x14ac:dyDescent="0.25">
      <c r="A108" s="239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9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83</v>
      </c>
      <c r="B110" s="97" t="s">
        <v>70</v>
      </c>
      <c r="C110" s="104">
        <v>34695.840000000004</v>
      </c>
      <c r="D110" s="105">
        <v>28772.16</v>
      </c>
      <c r="E110" s="105">
        <v>21156</v>
      </c>
      <c r="F110" s="105">
        <v>26233.439999999999</v>
      </c>
      <c r="G110" s="105">
        <v>23694.720000000001</v>
      </c>
      <c r="H110" s="105">
        <v>38927.040000000001</v>
      </c>
      <c r="I110" s="105">
        <v>38927.040000000001</v>
      </c>
      <c r="J110" s="105">
        <v>36388.32</v>
      </c>
      <c r="K110" s="105">
        <v>34695.840000000004</v>
      </c>
      <c r="L110" s="105">
        <v>27079.68</v>
      </c>
      <c r="M110" s="105">
        <v>25387.200000000001</v>
      </c>
      <c r="N110" s="105">
        <v>33003.360000000001</v>
      </c>
      <c r="O110" s="106">
        <v>368960.64</v>
      </c>
    </row>
    <row r="111" spans="1:15" x14ac:dyDescent="0.25">
      <c r="A111" s="239"/>
      <c r="B111" s="107" t="s">
        <v>25</v>
      </c>
      <c r="C111" s="108">
        <v>3059.0100000000057</v>
      </c>
      <c r="D111" s="96">
        <v>2536.7400000000016</v>
      </c>
      <c r="E111" s="96">
        <v>1865.25</v>
      </c>
      <c r="F111" s="96">
        <v>2312.91</v>
      </c>
      <c r="G111" s="96">
        <v>2089.0800000000017</v>
      </c>
      <c r="H111" s="96">
        <v>3432.0599999999977</v>
      </c>
      <c r="I111" s="96">
        <v>3432.0599999999977</v>
      </c>
      <c r="J111" s="96">
        <v>3208.2300000000032</v>
      </c>
      <c r="K111" s="96">
        <v>3059.0100000000057</v>
      </c>
      <c r="L111" s="96">
        <v>2387.5200000000004</v>
      </c>
      <c r="M111" s="96">
        <v>2238.2999999999993</v>
      </c>
      <c r="N111" s="96">
        <v>2909.7900000000009</v>
      </c>
      <c r="O111" s="109">
        <v>32529.960000000014</v>
      </c>
    </row>
    <row r="112" spans="1:15" x14ac:dyDescent="0.25">
      <c r="A112" s="239"/>
      <c r="B112" s="107" t="s">
        <v>26</v>
      </c>
      <c r="C112" s="108">
        <v>103.01437553105355</v>
      </c>
      <c r="D112" s="96">
        <v>85.426555318434652</v>
      </c>
      <c r="E112" s="96">
        <v>62.813643616496059</v>
      </c>
      <c r="F112" s="96">
        <v>77.888918084455113</v>
      </c>
      <c r="G112" s="96">
        <v>70.35128085047559</v>
      </c>
      <c r="H112" s="96">
        <v>115.57710425435275</v>
      </c>
      <c r="I112" s="96">
        <v>115.57710425435275</v>
      </c>
      <c r="J112" s="96">
        <v>108.03946702037322</v>
      </c>
      <c r="K112" s="96">
        <v>103.01437553105355</v>
      </c>
      <c r="L112" s="96">
        <v>80.401463829114959</v>
      </c>
      <c r="M112" s="96">
        <v>75.376372339795282</v>
      </c>
      <c r="N112" s="96">
        <v>97.989284041733853</v>
      </c>
      <c r="O112" s="109">
        <v>1095.4699446716913</v>
      </c>
    </row>
    <row r="113" spans="1:15" x14ac:dyDescent="0.25">
      <c r="A113" s="239"/>
      <c r="B113" s="107" t="s">
        <v>27</v>
      </c>
      <c r="C113" s="108">
        <v>3162.0243755310594</v>
      </c>
      <c r="D113" s="96">
        <v>2622.1665553184362</v>
      </c>
      <c r="E113" s="96">
        <v>1928.0636436164962</v>
      </c>
      <c r="F113" s="96">
        <v>2390.7989180844552</v>
      </c>
      <c r="G113" s="96">
        <v>2159.4312808504774</v>
      </c>
      <c r="H113" s="96">
        <v>3547.6371042543506</v>
      </c>
      <c r="I113" s="96">
        <v>3547.6371042543506</v>
      </c>
      <c r="J113" s="96">
        <v>3316.2694670203764</v>
      </c>
      <c r="K113" s="96">
        <v>3162.0243755310594</v>
      </c>
      <c r="L113" s="96">
        <v>2467.9214638291155</v>
      </c>
      <c r="M113" s="96">
        <v>2313.6763723397944</v>
      </c>
      <c r="N113" s="96">
        <v>3007.7792840417346</v>
      </c>
      <c r="O113" s="109">
        <v>33625.429944671705</v>
      </c>
    </row>
    <row r="114" spans="1:15" x14ac:dyDescent="0.25">
      <c r="A114" s="239"/>
      <c r="B114" s="107" t="s">
        <v>49</v>
      </c>
      <c r="C114" s="108">
        <v>31636.829999999998</v>
      </c>
      <c r="D114" s="96">
        <v>26235.42</v>
      </c>
      <c r="E114" s="96">
        <v>19290.75</v>
      </c>
      <c r="F114" s="96">
        <v>23920.53</v>
      </c>
      <c r="G114" s="96">
        <v>21605.64</v>
      </c>
      <c r="H114" s="96">
        <v>35494.980000000003</v>
      </c>
      <c r="I114" s="96">
        <v>35494.980000000003</v>
      </c>
      <c r="J114" s="96">
        <v>33180.089999999997</v>
      </c>
      <c r="K114" s="96">
        <v>31636.829999999998</v>
      </c>
      <c r="L114" s="96">
        <v>24692.16</v>
      </c>
      <c r="M114" s="96">
        <v>23148.9</v>
      </c>
      <c r="N114" s="96">
        <v>30093.57</v>
      </c>
      <c r="O114" s="109">
        <v>336430.68</v>
      </c>
    </row>
    <row r="115" spans="1:15" x14ac:dyDescent="0.25">
      <c r="A115" s="239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9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71</v>
      </c>
      <c r="B117" s="98"/>
      <c r="C117" s="104">
        <v>6431423.9999999991</v>
      </c>
      <c r="D117" s="105">
        <v>6490660.7999999998</v>
      </c>
      <c r="E117" s="105">
        <v>5476019.040000001</v>
      </c>
      <c r="F117" s="105">
        <v>5930449.919999999</v>
      </c>
      <c r="G117" s="105">
        <v>6187706.879999999</v>
      </c>
      <c r="H117" s="105">
        <v>7651702.0799999991</v>
      </c>
      <c r="I117" s="105">
        <v>8132366.4000000004</v>
      </c>
      <c r="J117" s="105">
        <v>8379468.4800000004</v>
      </c>
      <c r="K117" s="105">
        <v>7395291.3599999985</v>
      </c>
      <c r="L117" s="105">
        <v>6137778.7199999988</v>
      </c>
      <c r="M117" s="105">
        <v>5666423.04</v>
      </c>
      <c r="N117" s="105">
        <v>6417884.1600000001</v>
      </c>
      <c r="O117" s="106">
        <v>80297174.879999995</v>
      </c>
    </row>
    <row r="118" spans="1:15" ht="13" x14ac:dyDescent="0.3">
      <c r="A118" s="97" t="s">
        <v>28</v>
      </c>
      <c r="B118" s="98"/>
      <c r="C118" s="247">
        <v>567036</v>
      </c>
      <c r="D118" s="248">
        <v>572258.70000000042</v>
      </c>
      <c r="E118" s="248">
        <v>482801.31000000023</v>
      </c>
      <c r="F118" s="248">
        <v>522866.8800000003</v>
      </c>
      <c r="G118" s="248">
        <v>545548.32000000007</v>
      </c>
      <c r="H118" s="248">
        <v>674623.61999999988</v>
      </c>
      <c r="I118" s="248">
        <v>717002.10000000056</v>
      </c>
      <c r="J118" s="248">
        <v>738788.22000000032</v>
      </c>
      <c r="K118" s="248">
        <v>652016.7900000005</v>
      </c>
      <c r="L118" s="248">
        <v>541146.33000000042</v>
      </c>
      <c r="M118" s="248">
        <v>499588.56000000006</v>
      </c>
      <c r="N118" s="248">
        <v>565842.24000000034</v>
      </c>
      <c r="O118" s="249">
        <v>7079519.070000004</v>
      </c>
    </row>
    <row r="119" spans="1:15" ht="13" x14ac:dyDescent="0.3">
      <c r="A119" s="97" t="s">
        <v>29</v>
      </c>
      <c r="B119" s="98"/>
      <c r="C119" s="247">
        <v>19095.347659414801</v>
      </c>
      <c r="D119" s="248">
        <v>19271.225861540992</v>
      </c>
      <c r="E119" s="248">
        <v>16258.683513693841</v>
      </c>
      <c r="F119" s="248">
        <v>17607.920578576177</v>
      </c>
      <c r="G119" s="248">
        <v>18371.734484952765</v>
      </c>
      <c r="H119" s="248">
        <v>22718.438623214293</v>
      </c>
      <c r="I119" s="248">
        <v>24145.564606181084</v>
      </c>
      <c r="J119" s="248">
        <v>24879.227963621761</v>
      </c>
      <c r="K119" s="248">
        <v>21957.137262582368</v>
      </c>
      <c r="L119" s="248">
        <v>18223.494286017842</v>
      </c>
      <c r="M119" s="248">
        <v>16824.006306242307</v>
      </c>
      <c r="N119" s="248">
        <v>19055.146927500246</v>
      </c>
      <c r="O119" s="249">
        <v>238407.92807353847</v>
      </c>
    </row>
    <row r="120" spans="1:15" ht="13" x14ac:dyDescent="0.3">
      <c r="A120" s="97" t="s">
        <v>30</v>
      </c>
      <c r="B120" s="98"/>
      <c r="C120" s="247">
        <v>586131.34765941475</v>
      </c>
      <c r="D120" s="248">
        <v>591529.92586154141</v>
      </c>
      <c r="E120" s="248">
        <v>499059.99351369403</v>
      </c>
      <c r="F120" s="248">
        <v>540474.8005785764</v>
      </c>
      <c r="G120" s="248">
        <v>563920.05448495282</v>
      </c>
      <c r="H120" s="248">
        <v>697342.05862321449</v>
      </c>
      <c r="I120" s="248">
        <v>741147.66460618156</v>
      </c>
      <c r="J120" s="248">
        <v>763667.44796362228</v>
      </c>
      <c r="K120" s="248">
        <v>673973.92726258293</v>
      </c>
      <c r="L120" s="248">
        <v>559369.82428601827</v>
      </c>
      <c r="M120" s="248">
        <v>516412.56630624243</v>
      </c>
      <c r="N120" s="248">
        <v>584897.38692750048</v>
      </c>
      <c r="O120" s="249">
        <v>7317926.9980735425</v>
      </c>
    </row>
    <row r="121" spans="1:15" x14ac:dyDescent="0.25">
      <c r="A121" s="97" t="s">
        <v>61</v>
      </c>
      <c r="B121" s="98"/>
      <c r="C121" s="104">
        <v>5864387.9999999991</v>
      </c>
      <c r="D121" s="105">
        <v>5918402.0999999987</v>
      </c>
      <c r="E121" s="105">
        <v>4993217.7299999995</v>
      </c>
      <c r="F121" s="105">
        <v>5407583.04</v>
      </c>
      <c r="G121" s="105">
        <v>5642158.5600000005</v>
      </c>
      <c r="H121" s="105">
        <v>6977078.46</v>
      </c>
      <c r="I121" s="105">
        <v>7415364.3000000017</v>
      </c>
      <c r="J121" s="105">
        <v>7640680.2599999988</v>
      </c>
      <c r="K121" s="105">
        <v>6743274.5699999994</v>
      </c>
      <c r="L121" s="105">
        <v>5596632.3899999997</v>
      </c>
      <c r="M121" s="105">
        <v>5166834.4799999995</v>
      </c>
      <c r="N121" s="105">
        <v>5852041.919999999</v>
      </c>
      <c r="O121" s="106">
        <v>73217655.810000002</v>
      </c>
    </row>
    <row r="122" spans="1:15" x14ac:dyDescent="0.25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90</v>
      </c>
      <c r="B123" s="240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5">
      <c r="L125" s="242"/>
      <c r="O125" s="242"/>
    </row>
    <row r="126" spans="1:15" x14ac:dyDescent="0.25">
      <c r="L126" s="96"/>
      <c r="O126" s="96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90" zoomScaleNormal="90" zoomScaleSheetLayoutView="100" workbookViewId="0">
      <selection activeCell="D10" sqref="D1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4.81640625" style="163" bestFit="1" customWidth="1"/>
    <col min="11" max="11" width="14.81640625" style="165" bestFit="1" customWidth="1"/>
    <col min="12" max="12" width="14.7265625" style="163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8" customWidth="1"/>
    <col min="19" max="16384" width="8.7265625" style="1"/>
  </cols>
  <sheetData>
    <row r="1" spans="2:18" ht="21.5" x14ac:dyDescent="0.3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45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52</v>
      </c>
      <c r="C2" s="114"/>
      <c r="D2" s="115"/>
      <c r="E2" s="114"/>
      <c r="F2" s="124">
        <v>9</v>
      </c>
      <c r="G2" s="251"/>
      <c r="H2" s="251"/>
      <c r="I2" s="126" t="s">
        <v>6</v>
      </c>
      <c r="J2" s="127">
        <v>80296830.896017864</v>
      </c>
      <c r="K2" s="127">
        <v>77289974.550092295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51"/>
      <c r="H3" s="251"/>
      <c r="I3" s="126" t="s">
        <v>10</v>
      </c>
      <c r="J3" s="130">
        <v>846.24</v>
      </c>
      <c r="K3" s="130">
        <v>771.63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27">
        <v>0</v>
      </c>
      <c r="L5" s="241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142"/>
      <c r="M6" s="134"/>
      <c r="N6" s="135"/>
      <c r="O6" s="135"/>
      <c r="P6" s="135"/>
      <c r="Q6" s="135"/>
      <c r="R6" s="1"/>
    </row>
    <row r="7" spans="2:18" ht="13" x14ac:dyDescent="0.3">
      <c r="B7" s="9" t="s">
        <v>77</v>
      </c>
      <c r="D7" s="115"/>
      <c r="E7" s="114"/>
      <c r="F7" s="124"/>
      <c r="G7" s="252"/>
      <c r="H7" s="251"/>
      <c r="I7" s="126"/>
      <c r="J7" s="143"/>
      <c r="K7" s="128"/>
      <c r="L7" s="128"/>
      <c r="M7" s="144"/>
      <c r="N7" s="145"/>
      <c r="O7" s="145"/>
      <c r="P7" s="145"/>
      <c r="Q7" s="145"/>
      <c r="R7" s="1"/>
    </row>
    <row r="8" spans="2:18" ht="13" x14ac:dyDescent="0.3">
      <c r="B8" s="10"/>
      <c r="C8" s="114"/>
      <c r="D8" s="115"/>
      <c r="E8" s="114"/>
      <c r="F8" s="124"/>
      <c r="G8" s="251"/>
      <c r="H8" s="251"/>
      <c r="I8" s="126"/>
      <c r="J8" s="146"/>
      <c r="K8" s="128"/>
      <c r="L8" s="147"/>
      <c r="M8" s="129"/>
      <c r="N8" s="52"/>
      <c r="O8" s="52"/>
      <c r="P8" s="52"/>
      <c r="Q8" s="52"/>
      <c r="R8" s="136"/>
    </row>
    <row r="9" spans="2:18" ht="13" x14ac:dyDescent="0.3">
      <c r="B9" s="148"/>
      <c r="C9" s="114"/>
      <c r="D9" s="115"/>
      <c r="E9" s="114"/>
      <c r="F9" s="124"/>
      <c r="G9" s="125"/>
      <c r="H9" s="125"/>
      <c r="I9" s="149"/>
      <c r="J9" s="150"/>
      <c r="K9" s="151"/>
      <c r="L9" s="152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/>
      <c r="E11" s="153"/>
      <c r="L11" s="166"/>
      <c r="M11" s="1"/>
      <c r="N11" s="1"/>
      <c r="O11" s="1"/>
      <c r="P11" s="1"/>
      <c r="Q11" s="1"/>
      <c r="R11" s="136"/>
    </row>
    <row r="12" spans="2:18" x14ac:dyDescent="0.25">
      <c r="E12" s="153"/>
      <c r="L12" s="166"/>
      <c r="R12" s="167" t="s">
        <v>60</v>
      </c>
    </row>
    <row r="13" spans="2:18" ht="13" x14ac:dyDescent="0.3">
      <c r="E13" s="153"/>
      <c r="F13" s="168"/>
      <c r="G13" s="169"/>
      <c r="H13" s="169"/>
      <c r="I13" s="170" t="s">
        <v>58</v>
      </c>
      <c r="J13" s="171">
        <f t="shared" ref="J13:R13" si="0">SUM(J56:J211)</f>
        <v>20527243.679999992</v>
      </c>
      <c r="K13" s="171">
        <f t="shared" si="0"/>
        <v>18717428.91</v>
      </c>
      <c r="L13" s="172">
        <f t="shared" si="0"/>
        <v>1809814.7700000012</v>
      </c>
      <c r="M13" s="173">
        <f t="shared" si="0"/>
        <v>60946.822128213797</v>
      </c>
      <c r="N13" s="171">
        <f t="shared" si="0"/>
        <v>1870761.592128214</v>
      </c>
      <c r="O13" s="171">
        <f t="shared" si="0"/>
        <v>0</v>
      </c>
      <c r="P13" s="171">
        <f t="shared" si="0"/>
        <v>0</v>
      </c>
      <c r="Q13" s="171">
        <f t="shared" si="0"/>
        <v>0</v>
      </c>
      <c r="R13" s="172">
        <f t="shared" si="0"/>
        <v>1870761.592128214</v>
      </c>
    </row>
    <row r="14" spans="2:18" ht="13" x14ac:dyDescent="0.3">
      <c r="E14" s="153"/>
      <c r="F14" s="174"/>
      <c r="G14" s="174"/>
      <c r="H14" s="174"/>
      <c r="I14" s="175" t="s">
        <v>59</v>
      </c>
      <c r="J14" s="171">
        <f>SUM(J20:J211)</f>
        <v>80297174.8800001</v>
      </c>
      <c r="K14" s="171">
        <f>SUM(K20:K211)</f>
        <v>73217655.810000077</v>
      </c>
      <c r="L14" s="172">
        <f>SUM(L20:L211)</f>
        <v>7079519.0699999984</v>
      </c>
      <c r="M14" s="243">
        <v>238407.92807353847</v>
      </c>
      <c r="N14" s="171">
        <f>SUM(N20:N211)</f>
        <v>7317926.9980735369</v>
      </c>
      <c r="O14" s="171">
        <f>SUM(O20:O211)</f>
        <v>0</v>
      </c>
      <c r="P14" s="171">
        <f>SUM(P20:P211)</f>
        <v>0</v>
      </c>
      <c r="Q14" s="171">
        <f>SUM(Q20:Q211)</f>
        <v>0</v>
      </c>
      <c r="R14" s="172">
        <f>SUM(R20:R211)</f>
        <v>7317926.9980735369</v>
      </c>
    </row>
    <row r="15" spans="2:18" x14ac:dyDescent="0.25">
      <c r="B15" s="176" t="s">
        <v>82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CY2020 Charge reflects 2020 True-UP Rate x MW</v>
      </c>
      <c r="E16" s="153"/>
      <c r="F16" s="125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62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53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48</v>
      </c>
      <c r="I19" s="196" t="s">
        <v>46</v>
      </c>
      <c r="J19" s="197" t="str">
        <f>"True-Up Charge"</f>
        <v>True-Up Charge</v>
      </c>
      <c r="K19" s="197" t="s">
        <v>47</v>
      </c>
      <c r="L19" s="198" t="s">
        <v>3</v>
      </c>
      <c r="M19" s="199" t="s">
        <v>7</v>
      </c>
      <c r="N19" s="200" t="s">
        <v>99</v>
      </c>
      <c r="O19" s="200" t="s">
        <v>84</v>
      </c>
      <c r="P19" s="200" t="s">
        <v>85</v>
      </c>
      <c r="Q19" s="200" t="s">
        <v>86</v>
      </c>
      <c r="R19" s="201" t="s">
        <v>2</v>
      </c>
    </row>
    <row r="20" spans="1:18" s="52" customFormat="1" ht="12.75" customHeight="1" x14ac:dyDescent="0.25">
      <c r="A20" s="125">
        <v>1</v>
      </c>
      <c r="B20" s="202">
        <f>DATE($R$1,A20,1)</f>
        <v>43831</v>
      </c>
      <c r="C20" s="203">
        <v>43866</v>
      </c>
      <c r="D20" s="203">
        <v>43885</v>
      </c>
      <c r="E20" s="204" t="s">
        <v>21</v>
      </c>
      <c r="F20" s="125">
        <v>9</v>
      </c>
      <c r="G20" s="205">
        <v>2580</v>
      </c>
      <c r="H20" s="206">
        <f>+$K$3</f>
        <v>771.63</v>
      </c>
      <c r="I20" s="206">
        <f t="shared" ref="I20:I63" si="1">$J$3</f>
        <v>846.24</v>
      </c>
      <c r="J20" s="207">
        <f t="shared" ref="J20:J108" si="2">+$G20*I20</f>
        <v>2183299.2000000002</v>
      </c>
      <c r="K20" s="208">
        <f>+$G20*H20</f>
        <v>1990805.4</v>
      </c>
      <c r="L20" s="209">
        <f t="shared" ref="L20:L34" si="3">+J20-K20</f>
        <v>192493.80000000028</v>
      </c>
      <c r="M20" s="210">
        <f>G20/$G$212*$M$14</f>
        <v>6482.3680212223935</v>
      </c>
      <c r="N20" s="211">
        <f>SUM(L20:M20)</f>
        <v>198976.16802122266</v>
      </c>
      <c r="O20" s="210">
        <v>0</v>
      </c>
      <c r="P20" s="210">
        <v>0</v>
      </c>
      <c r="Q20" s="210">
        <v>0</v>
      </c>
      <c r="R20" s="211">
        <f>+N20-Q20</f>
        <v>198976.16802122266</v>
      </c>
    </row>
    <row r="21" spans="1:18" x14ac:dyDescent="0.25">
      <c r="A21" s="163">
        <v>2</v>
      </c>
      <c r="B21" s="202">
        <f t="shared" ref="B21:B108" si="4">DATE($R$1,A21,1)</f>
        <v>43862</v>
      </c>
      <c r="C21" s="203">
        <v>43894</v>
      </c>
      <c r="D21" s="203">
        <v>43914</v>
      </c>
      <c r="E21" s="212" t="s">
        <v>21</v>
      </c>
      <c r="F21" s="163">
        <v>9</v>
      </c>
      <c r="G21" s="205">
        <v>2548</v>
      </c>
      <c r="H21" s="206">
        <f t="shared" ref="H21:H84" si="5">+$K$3</f>
        <v>771.63</v>
      </c>
      <c r="I21" s="206">
        <f t="shared" si="1"/>
        <v>846.24</v>
      </c>
      <c r="J21" s="207">
        <f t="shared" si="2"/>
        <v>2156219.52</v>
      </c>
      <c r="K21" s="208">
        <f t="shared" ref="K21:K33" si="6">+$G21*H21</f>
        <v>1966113.24</v>
      </c>
      <c r="L21" s="209">
        <f t="shared" si="3"/>
        <v>190106.28000000003</v>
      </c>
      <c r="M21" s="210">
        <f t="shared" ref="M21:M84" si="7">G21/$G$212*$M$14</f>
        <v>6401.9665573932789</v>
      </c>
      <c r="N21" s="211">
        <f t="shared" ref="N21:N84" si="8">SUM(L21:M21)</f>
        <v>196508.24655739332</v>
      </c>
      <c r="O21" s="210">
        <v>0</v>
      </c>
      <c r="P21" s="210">
        <v>0</v>
      </c>
      <c r="Q21" s="210">
        <v>0</v>
      </c>
      <c r="R21" s="211">
        <f t="shared" ref="R21:R84" si="9">+N21-Q21</f>
        <v>196508.24655739332</v>
      </c>
    </row>
    <row r="22" spans="1:18" x14ac:dyDescent="0.25">
      <c r="A22" s="163">
        <v>3</v>
      </c>
      <c r="B22" s="202">
        <f t="shared" si="4"/>
        <v>43891</v>
      </c>
      <c r="C22" s="203">
        <v>43924</v>
      </c>
      <c r="D22" s="203">
        <v>43945</v>
      </c>
      <c r="E22" s="212" t="s">
        <v>21</v>
      </c>
      <c r="F22" s="163">
        <v>9</v>
      </c>
      <c r="G22" s="205">
        <v>2505</v>
      </c>
      <c r="H22" s="206">
        <f t="shared" si="5"/>
        <v>771.63</v>
      </c>
      <c r="I22" s="206">
        <f t="shared" si="1"/>
        <v>846.24</v>
      </c>
      <c r="J22" s="207">
        <f t="shared" si="2"/>
        <v>2119831.2000000002</v>
      </c>
      <c r="K22" s="208">
        <f t="shared" si="6"/>
        <v>1932933.15</v>
      </c>
      <c r="L22" s="209">
        <f t="shared" si="3"/>
        <v>186898.05000000028</v>
      </c>
      <c r="M22" s="210">
        <f t="shared" si="7"/>
        <v>6293.9270903729057</v>
      </c>
      <c r="N22" s="211">
        <f t="shared" si="8"/>
        <v>193191.9770903732</v>
      </c>
      <c r="O22" s="210">
        <v>0</v>
      </c>
      <c r="P22" s="210">
        <v>0</v>
      </c>
      <c r="Q22" s="210">
        <v>0</v>
      </c>
      <c r="R22" s="211">
        <f t="shared" si="9"/>
        <v>193191.9770903732</v>
      </c>
    </row>
    <row r="23" spans="1:18" x14ac:dyDescent="0.25">
      <c r="A23" s="125">
        <v>4</v>
      </c>
      <c r="B23" s="202">
        <f t="shared" si="4"/>
        <v>43922</v>
      </c>
      <c r="C23" s="203">
        <v>43956</v>
      </c>
      <c r="D23" s="203">
        <v>43976</v>
      </c>
      <c r="E23" s="212" t="s">
        <v>21</v>
      </c>
      <c r="F23" s="163">
        <v>9</v>
      </c>
      <c r="G23" s="205">
        <v>2636</v>
      </c>
      <c r="H23" s="206">
        <f t="shared" si="5"/>
        <v>771.63</v>
      </c>
      <c r="I23" s="206">
        <f t="shared" si="1"/>
        <v>846.24</v>
      </c>
      <c r="J23" s="207">
        <f t="shared" si="2"/>
        <v>2230688.64</v>
      </c>
      <c r="K23" s="208">
        <f t="shared" si="6"/>
        <v>2034016.68</v>
      </c>
      <c r="L23" s="209">
        <f t="shared" si="3"/>
        <v>196671.9600000002</v>
      </c>
      <c r="M23" s="210">
        <f t="shared" si="7"/>
        <v>6623.0705829233448</v>
      </c>
      <c r="N23" s="211">
        <f t="shared" si="8"/>
        <v>203295.03058292353</v>
      </c>
      <c r="O23" s="210">
        <v>0</v>
      </c>
      <c r="P23" s="210">
        <v>0</v>
      </c>
      <c r="Q23" s="210">
        <v>0</v>
      </c>
      <c r="R23" s="211">
        <f t="shared" si="9"/>
        <v>203295.03058292353</v>
      </c>
    </row>
    <row r="24" spans="1:18" ht="12" customHeight="1" x14ac:dyDescent="0.25">
      <c r="A24" s="163">
        <v>5</v>
      </c>
      <c r="B24" s="202">
        <f t="shared" si="4"/>
        <v>43952</v>
      </c>
      <c r="C24" s="203">
        <v>43985</v>
      </c>
      <c r="D24" s="203">
        <v>44006</v>
      </c>
      <c r="E24" s="54" t="s">
        <v>21</v>
      </c>
      <c r="F24" s="163">
        <v>9</v>
      </c>
      <c r="G24" s="205">
        <v>2911</v>
      </c>
      <c r="H24" s="206">
        <f t="shared" si="5"/>
        <v>771.63</v>
      </c>
      <c r="I24" s="206">
        <f t="shared" si="1"/>
        <v>846.24</v>
      </c>
      <c r="J24" s="207">
        <f t="shared" si="2"/>
        <v>2463404.64</v>
      </c>
      <c r="K24" s="208">
        <f t="shared" si="6"/>
        <v>2246214.9300000002</v>
      </c>
      <c r="L24" s="209">
        <f t="shared" si="3"/>
        <v>217189.70999999996</v>
      </c>
      <c r="M24" s="210">
        <f t="shared" si="7"/>
        <v>7314.0206627048019</v>
      </c>
      <c r="N24" s="211">
        <f t="shared" si="8"/>
        <v>224503.73066270477</v>
      </c>
      <c r="O24" s="210">
        <v>0</v>
      </c>
      <c r="P24" s="210">
        <v>0</v>
      </c>
      <c r="Q24" s="210">
        <v>0</v>
      </c>
      <c r="R24" s="211">
        <f t="shared" si="9"/>
        <v>224503.73066270477</v>
      </c>
    </row>
    <row r="25" spans="1:18" x14ac:dyDescent="0.25">
      <c r="A25" s="163">
        <v>6</v>
      </c>
      <c r="B25" s="202">
        <f t="shared" si="4"/>
        <v>43983</v>
      </c>
      <c r="C25" s="203">
        <v>44015</v>
      </c>
      <c r="D25" s="203">
        <v>44036</v>
      </c>
      <c r="E25" s="54" t="s">
        <v>21</v>
      </c>
      <c r="F25" s="163">
        <v>9</v>
      </c>
      <c r="G25" s="205">
        <v>3504</v>
      </c>
      <c r="H25" s="206">
        <f t="shared" si="5"/>
        <v>771.63</v>
      </c>
      <c r="I25" s="206">
        <f t="shared" si="1"/>
        <v>846.24</v>
      </c>
      <c r="J25" s="207">
        <f t="shared" si="2"/>
        <v>2965224.96</v>
      </c>
      <c r="K25" s="208">
        <f t="shared" si="6"/>
        <v>2703791.52</v>
      </c>
      <c r="L25" s="213">
        <f t="shared" si="3"/>
        <v>261433.43999999994</v>
      </c>
      <c r="M25" s="210">
        <f t="shared" si="7"/>
        <v>8803.9602892880866</v>
      </c>
      <c r="N25" s="211">
        <f t="shared" si="8"/>
        <v>270237.40028928802</v>
      </c>
      <c r="O25" s="210">
        <v>0</v>
      </c>
      <c r="P25" s="210">
        <v>0</v>
      </c>
      <c r="Q25" s="210">
        <v>0</v>
      </c>
      <c r="R25" s="211">
        <f t="shared" si="9"/>
        <v>270237.40028928802</v>
      </c>
    </row>
    <row r="26" spans="1:18" x14ac:dyDescent="0.25">
      <c r="A26" s="125">
        <v>7</v>
      </c>
      <c r="B26" s="202">
        <f t="shared" si="4"/>
        <v>44013</v>
      </c>
      <c r="C26" s="203">
        <v>44048</v>
      </c>
      <c r="D26" s="203">
        <v>44067</v>
      </c>
      <c r="E26" s="54" t="s">
        <v>21</v>
      </c>
      <c r="F26" s="163">
        <v>9</v>
      </c>
      <c r="G26" s="205">
        <v>3724</v>
      </c>
      <c r="H26" s="206">
        <f t="shared" si="5"/>
        <v>771.63</v>
      </c>
      <c r="I26" s="206">
        <f t="shared" si="1"/>
        <v>846.24</v>
      </c>
      <c r="J26" s="207">
        <f t="shared" si="2"/>
        <v>3151397.7600000002</v>
      </c>
      <c r="K26" s="214">
        <f t="shared" si="6"/>
        <v>2873550.12</v>
      </c>
      <c r="L26" s="213">
        <f t="shared" si="3"/>
        <v>277847.64000000013</v>
      </c>
      <c r="M26" s="210">
        <f t="shared" si="7"/>
        <v>9356.7203531132527</v>
      </c>
      <c r="N26" s="211">
        <f t="shared" si="8"/>
        <v>287204.36035311338</v>
      </c>
      <c r="O26" s="210">
        <v>0</v>
      </c>
      <c r="P26" s="210">
        <v>0</v>
      </c>
      <c r="Q26" s="210">
        <v>0</v>
      </c>
      <c r="R26" s="211">
        <f t="shared" si="9"/>
        <v>287204.36035311338</v>
      </c>
    </row>
    <row r="27" spans="1:18" x14ac:dyDescent="0.25">
      <c r="A27" s="163">
        <v>8</v>
      </c>
      <c r="B27" s="202">
        <f t="shared" si="4"/>
        <v>44044</v>
      </c>
      <c r="C27" s="203">
        <v>44077</v>
      </c>
      <c r="D27" s="203">
        <v>44098</v>
      </c>
      <c r="E27" s="54" t="s">
        <v>21</v>
      </c>
      <c r="F27" s="163">
        <v>9</v>
      </c>
      <c r="G27" s="205">
        <v>3873</v>
      </c>
      <c r="H27" s="206">
        <f t="shared" si="5"/>
        <v>771.63</v>
      </c>
      <c r="I27" s="206">
        <f t="shared" si="1"/>
        <v>846.24</v>
      </c>
      <c r="J27" s="207">
        <f t="shared" si="2"/>
        <v>3277487.52</v>
      </c>
      <c r="K27" s="214">
        <f t="shared" si="6"/>
        <v>2988522.9899999998</v>
      </c>
      <c r="L27" s="213">
        <f t="shared" si="3"/>
        <v>288964.53000000026</v>
      </c>
      <c r="M27" s="210">
        <f t="shared" si="7"/>
        <v>9731.089669067569</v>
      </c>
      <c r="N27" s="211">
        <f t="shared" si="8"/>
        <v>298695.61966906785</v>
      </c>
      <c r="O27" s="210">
        <v>0</v>
      </c>
      <c r="P27" s="210">
        <v>0</v>
      </c>
      <c r="Q27" s="210">
        <v>0</v>
      </c>
      <c r="R27" s="211">
        <f t="shared" si="9"/>
        <v>298695.61966906785</v>
      </c>
    </row>
    <row r="28" spans="1:18" x14ac:dyDescent="0.25">
      <c r="A28" s="163">
        <v>9</v>
      </c>
      <c r="B28" s="202">
        <f t="shared" si="4"/>
        <v>44075</v>
      </c>
      <c r="C28" s="203">
        <v>44109</v>
      </c>
      <c r="D28" s="203">
        <v>44130</v>
      </c>
      <c r="E28" s="54" t="s">
        <v>21</v>
      </c>
      <c r="F28" s="163">
        <v>9</v>
      </c>
      <c r="G28" s="205">
        <v>3349</v>
      </c>
      <c r="H28" s="206">
        <f t="shared" si="5"/>
        <v>771.63</v>
      </c>
      <c r="I28" s="206">
        <f t="shared" si="1"/>
        <v>846.24</v>
      </c>
      <c r="J28" s="207">
        <f t="shared" si="2"/>
        <v>2834057.7600000002</v>
      </c>
      <c r="K28" s="214">
        <f t="shared" si="6"/>
        <v>2584188.87</v>
      </c>
      <c r="L28" s="213">
        <f t="shared" si="3"/>
        <v>249868.89000000013</v>
      </c>
      <c r="M28" s="210">
        <f t="shared" si="7"/>
        <v>8414.5156988658127</v>
      </c>
      <c r="N28" s="211">
        <f t="shared" si="8"/>
        <v>258283.40569886594</v>
      </c>
      <c r="O28" s="210">
        <v>0</v>
      </c>
      <c r="P28" s="210">
        <v>0</v>
      </c>
      <c r="Q28" s="210">
        <v>0</v>
      </c>
      <c r="R28" s="211">
        <f t="shared" si="9"/>
        <v>258283.40569886594</v>
      </c>
    </row>
    <row r="29" spans="1:18" x14ac:dyDescent="0.25">
      <c r="A29" s="125">
        <v>10</v>
      </c>
      <c r="B29" s="202">
        <f t="shared" si="4"/>
        <v>44105</v>
      </c>
      <c r="C29" s="203">
        <v>44139</v>
      </c>
      <c r="D29" s="203">
        <v>44159</v>
      </c>
      <c r="E29" s="54" t="s">
        <v>21</v>
      </c>
      <c r="F29" s="163">
        <v>9</v>
      </c>
      <c r="G29" s="205">
        <v>2789</v>
      </c>
      <c r="H29" s="206">
        <f t="shared" si="5"/>
        <v>771.63</v>
      </c>
      <c r="I29" s="206">
        <f t="shared" si="1"/>
        <v>846.24</v>
      </c>
      <c r="J29" s="207">
        <f t="shared" si="2"/>
        <v>2360163.36</v>
      </c>
      <c r="K29" s="214">
        <f t="shared" si="6"/>
        <v>2152076.0699999998</v>
      </c>
      <c r="L29" s="213">
        <f t="shared" si="3"/>
        <v>208087.29000000004</v>
      </c>
      <c r="M29" s="210">
        <f t="shared" si="7"/>
        <v>7007.490081856301</v>
      </c>
      <c r="N29" s="211">
        <f t="shared" si="8"/>
        <v>215094.78008185633</v>
      </c>
      <c r="O29" s="210">
        <v>0</v>
      </c>
      <c r="P29" s="210">
        <v>0</v>
      </c>
      <c r="Q29" s="210">
        <v>0</v>
      </c>
      <c r="R29" s="211">
        <f t="shared" si="9"/>
        <v>215094.78008185633</v>
      </c>
    </row>
    <row r="30" spans="1:18" x14ac:dyDescent="0.25">
      <c r="A30" s="163">
        <v>11</v>
      </c>
      <c r="B30" s="202">
        <f t="shared" si="4"/>
        <v>44136</v>
      </c>
      <c r="C30" s="203">
        <v>44168</v>
      </c>
      <c r="D30" s="203">
        <v>44189</v>
      </c>
      <c r="E30" s="54" t="s">
        <v>21</v>
      </c>
      <c r="F30" s="163">
        <v>9</v>
      </c>
      <c r="G30" s="205">
        <v>2382</v>
      </c>
      <c r="H30" s="206">
        <f t="shared" si="5"/>
        <v>771.63</v>
      </c>
      <c r="I30" s="206">
        <f t="shared" si="1"/>
        <v>846.24</v>
      </c>
      <c r="J30" s="207">
        <f t="shared" si="2"/>
        <v>2015743.68</v>
      </c>
      <c r="K30" s="214">
        <f t="shared" si="6"/>
        <v>1838022.66</v>
      </c>
      <c r="L30" s="213">
        <f t="shared" si="3"/>
        <v>177721.02000000002</v>
      </c>
      <c r="M30" s="210">
        <f t="shared" si="7"/>
        <v>5984.8839637797446</v>
      </c>
      <c r="N30" s="211">
        <f t="shared" si="8"/>
        <v>183705.90396377977</v>
      </c>
      <c r="O30" s="210">
        <v>0</v>
      </c>
      <c r="P30" s="210">
        <v>0</v>
      </c>
      <c r="Q30" s="210">
        <v>0</v>
      </c>
      <c r="R30" s="211">
        <f t="shared" si="9"/>
        <v>183705.90396377977</v>
      </c>
    </row>
    <row r="31" spans="1:18" x14ac:dyDescent="0.25">
      <c r="A31" s="163">
        <v>12</v>
      </c>
      <c r="B31" s="202">
        <f t="shared" si="4"/>
        <v>44166</v>
      </c>
      <c r="C31" s="215">
        <v>44202</v>
      </c>
      <c r="D31" s="216">
        <v>44221</v>
      </c>
      <c r="E31" s="54" t="s">
        <v>21</v>
      </c>
      <c r="F31" s="163">
        <v>9</v>
      </c>
      <c r="G31" s="217">
        <v>2513</v>
      </c>
      <c r="H31" s="218">
        <f t="shared" si="5"/>
        <v>771.63</v>
      </c>
      <c r="I31" s="218">
        <f t="shared" si="1"/>
        <v>846.24</v>
      </c>
      <c r="J31" s="219">
        <f t="shared" si="2"/>
        <v>2126601.12</v>
      </c>
      <c r="K31" s="220">
        <f t="shared" si="6"/>
        <v>1939106.19</v>
      </c>
      <c r="L31" s="221">
        <f t="shared" si="3"/>
        <v>187494.93000000017</v>
      </c>
      <c r="M31" s="210">
        <f t="shared" si="7"/>
        <v>6314.0274563301837</v>
      </c>
      <c r="N31" s="211">
        <f t="shared" si="8"/>
        <v>193808.95745633036</v>
      </c>
      <c r="O31" s="210">
        <v>0</v>
      </c>
      <c r="P31" s="210">
        <v>0</v>
      </c>
      <c r="Q31" s="210">
        <v>0</v>
      </c>
      <c r="R31" s="211">
        <f t="shared" si="9"/>
        <v>193808.95745633036</v>
      </c>
    </row>
    <row r="32" spans="1:18" x14ac:dyDescent="0.25">
      <c r="A32" s="125">
        <v>1</v>
      </c>
      <c r="B32" s="222">
        <f t="shared" si="4"/>
        <v>43831</v>
      </c>
      <c r="C32" s="223">
        <f t="shared" ref="C32:D43" si="10">+C20</f>
        <v>43866</v>
      </c>
      <c r="D32" s="223">
        <f t="shared" si="10"/>
        <v>43885</v>
      </c>
      <c r="E32" s="224" t="s">
        <v>22</v>
      </c>
      <c r="F32" s="225">
        <v>9</v>
      </c>
      <c r="G32" s="205">
        <v>2664</v>
      </c>
      <c r="H32" s="206">
        <f t="shared" si="5"/>
        <v>771.63</v>
      </c>
      <c r="I32" s="206">
        <f t="shared" si="1"/>
        <v>846.24</v>
      </c>
      <c r="J32" s="207">
        <f t="shared" si="2"/>
        <v>2254383.36</v>
      </c>
      <c r="K32" s="208">
        <f t="shared" si="6"/>
        <v>2055622.32</v>
      </c>
      <c r="L32" s="209">
        <f t="shared" si="3"/>
        <v>198761.0399999998</v>
      </c>
      <c r="M32" s="210">
        <f t="shared" si="7"/>
        <v>6693.4218637738204</v>
      </c>
      <c r="N32" s="211">
        <f t="shared" si="8"/>
        <v>205454.46186377361</v>
      </c>
      <c r="O32" s="210">
        <v>0</v>
      </c>
      <c r="P32" s="210">
        <v>0</v>
      </c>
      <c r="Q32" s="210">
        <v>0</v>
      </c>
      <c r="R32" s="211">
        <f t="shared" si="9"/>
        <v>205454.46186377361</v>
      </c>
    </row>
    <row r="33" spans="1:18" x14ac:dyDescent="0.25">
      <c r="A33" s="163">
        <v>2</v>
      </c>
      <c r="B33" s="202">
        <f t="shared" si="4"/>
        <v>43862</v>
      </c>
      <c r="C33" s="226">
        <f t="shared" si="10"/>
        <v>43894</v>
      </c>
      <c r="D33" s="226">
        <f t="shared" si="10"/>
        <v>43914</v>
      </c>
      <c r="E33" s="212" t="s">
        <v>22</v>
      </c>
      <c r="F33" s="163">
        <v>9</v>
      </c>
      <c r="G33" s="205">
        <v>2798</v>
      </c>
      <c r="H33" s="206">
        <f t="shared" si="5"/>
        <v>771.63</v>
      </c>
      <c r="I33" s="206">
        <f t="shared" si="1"/>
        <v>846.24</v>
      </c>
      <c r="J33" s="207">
        <f t="shared" si="2"/>
        <v>2367779.52</v>
      </c>
      <c r="K33" s="208">
        <f t="shared" si="6"/>
        <v>2159020.7399999998</v>
      </c>
      <c r="L33" s="209">
        <f t="shared" si="3"/>
        <v>208758.78000000026</v>
      </c>
      <c r="M33" s="210">
        <f t="shared" si="7"/>
        <v>7030.1029935582383</v>
      </c>
      <c r="N33" s="211">
        <f t="shared" si="8"/>
        <v>215788.88299355851</v>
      </c>
      <c r="O33" s="210">
        <v>0</v>
      </c>
      <c r="P33" s="210">
        <v>0</v>
      </c>
      <c r="Q33" s="210">
        <v>0</v>
      </c>
      <c r="R33" s="211">
        <f t="shared" si="9"/>
        <v>215788.88299355851</v>
      </c>
    </row>
    <row r="34" spans="1:18" x14ac:dyDescent="0.25">
      <c r="A34" s="163">
        <v>3</v>
      </c>
      <c r="B34" s="202">
        <f t="shared" si="4"/>
        <v>43891</v>
      </c>
      <c r="C34" s="226">
        <f t="shared" si="10"/>
        <v>43924</v>
      </c>
      <c r="D34" s="226">
        <f t="shared" si="10"/>
        <v>43945</v>
      </c>
      <c r="E34" s="212" t="s">
        <v>22</v>
      </c>
      <c r="F34" s="163">
        <v>9</v>
      </c>
      <c r="G34" s="205">
        <v>2422</v>
      </c>
      <c r="H34" s="206">
        <f t="shared" si="5"/>
        <v>771.63</v>
      </c>
      <c r="I34" s="206">
        <f t="shared" si="1"/>
        <v>846.24</v>
      </c>
      <c r="J34" s="207">
        <f t="shared" si="2"/>
        <v>2049593.28</v>
      </c>
      <c r="K34" s="208">
        <f t="shared" ref="K34:K93" si="11">+$G34*H34</f>
        <v>1868887.86</v>
      </c>
      <c r="L34" s="209">
        <f t="shared" si="3"/>
        <v>180705.41999999993</v>
      </c>
      <c r="M34" s="210">
        <f t="shared" si="7"/>
        <v>6085.3857935661381</v>
      </c>
      <c r="N34" s="211">
        <f t="shared" si="8"/>
        <v>186790.80579356608</v>
      </c>
      <c r="O34" s="210">
        <v>0</v>
      </c>
      <c r="P34" s="210">
        <v>0</v>
      </c>
      <c r="Q34" s="210">
        <v>0</v>
      </c>
      <c r="R34" s="211">
        <f t="shared" si="9"/>
        <v>186790.80579356608</v>
      </c>
    </row>
    <row r="35" spans="1:18" x14ac:dyDescent="0.25">
      <c r="A35" s="125">
        <v>4</v>
      </c>
      <c r="B35" s="202">
        <f t="shared" si="4"/>
        <v>43922</v>
      </c>
      <c r="C35" s="226">
        <f t="shared" si="10"/>
        <v>43956</v>
      </c>
      <c r="D35" s="226">
        <f t="shared" si="10"/>
        <v>43976</v>
      </c>
      <c r="E35" s="212" t="s">
        <v>22</v>
      </c>
      <c r="F35" s="163">
        <v>9</v>
      </c>
      <c r="G35" s="205">
        <v>2569</v>
      </c>
      <c r="H35" s="206">
        <f t="shared" si="5"/>
        <v>771.63</v>
      </c>
      <c r="I35" s="206">
        <f t="shared" si="1"/>
        <v>846.24</v>
      </c>
      <c r="J35" s="207">
        <f t="shared" si="2"/>
        <v>2173990.56</v>
      </c>
      <c r="K35" s="208">
        <f t="shared" si="11"/>
        <v>1982317.47</v>
      </c>
      <c r="L35" s="209">
        <f t="shared" ref="L35:L57" si="12">+J35-K35</f>
        <v>191673.09000000008</v>
      </c>
      <c r="M35" s="210">
        <f t="shared" si="7"/>
        <v>6454.7300180311358</v>
      </c>
      <c r="N35" s="211">
        <f t="shared" si="8"/>
        <v>198127.82001803123</v>
      </c>
      <c r="O35" s="210">
        <v>0</v>
      </c>
      <c r="P35" s="210">
        <v>0</v>
      </c>
      <c r="Q35" s="210">
        <v>0</v>
      </c>
      <c r="R35" s="211">
        <f t="shared" si="9"/>
        <v>198127.82001803123</v>
      </c>
    </row>
    <row r="36" spans="1:18" x14ac:dyDescent="0.25">
      <c r="A36" s="163">
        <v>5</v>
      </c>
      <c r="B36" s="202">
        <f t="shared" si="4"/>
        <v>43952</v>
      </c>
      <c r="C36" s="226">
        <f t="shared" si="10"/>
        <v>43985</v>
      </c>
      <c r="D36" s="226">
        <f t="shared" si="10"/>
        <v>44006</v>
      </c>
      <c r="E36" s="54" t="s">
        <v>22</v>
      </c>
      <c r="F36" s="163">
        <v>9</v>
      </c>
      <c r="G36" s="205">
        <v>2598</v>
      </c>
      <c r="H36" s="206">
        <f t="shared" si="5"/>
        <v>771.63</v>
      </c>
      <c r="I36" s="206">
        <f t="shared" si="1"/>
        <v>846.24</v>
      </c>
      <c r="J36" s="207">
        <f t="shared" si="2"/>
        <v>2198531.52</v>
      </c>
      <c r="K36" s="208">
        <f t="shared" si="11"/>
        <v>2004694.74</v>
      </c>
      <c r="L36" s="209">
        <f t="shared" si="12"/>
        <v>193836.78000000003</v>
      </c>
      <c r="M36" s="210">
        <f t="shared" si="7"/>
        <v>6527.5938446262708</v>
      </c>
      <c r="N36" s="211">
        <f t="shared" si="8"/>
        <v>200364.3738446263</v>
      </c>
      <c r="O36" s="210">
        <v>0</v>
      </c>
      <c r="P36" s="210">
        <v>0</v>
      </c>
      <c r="Q36" s="210">
        <v>0</v>
      </c>
      <c r="R36" s="211">
        <f t="shared" si="9"/>
        <v>200364.3738446263</v>
      </c>
    </row>
    <row r="37" spans="1:18" x14ac:dyDescent="0.25">
      <c r="A37" s="163">
        <v>6</v>
      </c>
      <c r="B37" s="202">
        <f t="shared" si="4"/>
        <v>43983</v>
      </c>
      <c r="C37" s="226">
        <f t="shared" si="10"/>
        <v>44015</v>
      </c>
      <c r="D37" s="226">
        <f t="shared" si="10"/>
        <v>44036</v>
      </c>
      <c r="E37" s="54" t="s">
        <v>22</v>
      </c>
      <c r="F37" s="163">
        <v>9</v>
      </c>
      <c r="G37" s="205">
        <v>3167</v>
      </c>
      <c r="H37" s="206">
        <f t="shared" si="5"/>
        <v>771.63</v>
      </c>
      <c r="I37" s="206">
        <f t="shared" si="1"/>
        <v>846.24</v>
      </c>
      <c r="J37" s="207">
        <f t="shared" si="2"/>
        <v>2680042.08</v>
      </c>
      <c r="K37" s="208">
        <f t="shared" si="11"/>
        <v>2443752.21</v>
      </c>
      <c r="L37" s="213">
        <f t="shared" si="12"/>
        <v>236289.87000000011</v>
      </c>
      <c r="M37" s="210">
        <f t="shared" si="7"/>
        <v>7957.2323733377216</v>
      </c>
      <c r="N37" s="211">
        <f t="shared" si="8"/>
        <v>244247.10237333784</v>
      </c>
      <c r="O37" s="210">
        <v>0</v>
      </c>
      <c r="P37" s="210">
        <v>0</v>
      </c>
      <c r="Q37" s="210">
        <v>0</v>
      </c>
      <c r="R37" s="211">
        <f t="shared" si="9"/>
        <v>244247.10237333784</v>
      </c>
    </row>
    <row r="38" spans="1:18" x14ac:dyDescent="0.25">
      <c r="A38" s="125">
        <v>7</v>
      </c>
      <c r="B38" s="202">
        <f t="shared" si="4"/>
        <v>44013</v>
      </c>
      <c r="C38" s="226">
        <f t="shared" si="10"/>
        <v>44048</v>
      </c>
      <c r="D38" s="226">
        <f t="shared" si="10"/>
        <v>44067</v>
      </c>
      <c r="E38" s="54" t="s">
        <v>22</v>
      </c>
      <c r="F38" s="163">
        <v>9</v>
      </c>
      <c r="G38" s="205">
        <v>3376</v>
      </c>
      <c r="H38" s="206">
        <f t="shared" si="5"/>
        <v>771.63</v>
      </c>
      <c r="I38" s="206">
        <f t="shared" si="1"/>
        <v>846.24</v>
      </c>
      <c r="J38" s="207">
        <f t="shared" si="2"/>
        <v>2856906.24</v>
      </c>
      <c r="K38" s="214">
        <f t="shared" si="11"/>
        <v>2605022.88</v>
      </c>
      <c r="L38" s="213">
        <f t="shared" si="12"/>
        <v>251883.36000000034</v>
      </c>
      <c r="M38" s="210">
        <f t="shared" si="7"/>
        <v>8482.3544339716282</v>
      </c>
      <c r="N38" s="211">
        <f t="shared" si="8"/>
        <v>260365.71443397197</v>
      </c>
      <c r="O38" s="210">
        <v>0</v>
      </c>
      <c r="P38" s="210">
        <v>0</v>
      </c>
      <c r="Q38" s="210">
        <v>0</v>
      </c>
      <c r="R38" s="211">
        <f t="shared" si="9"/>
        <v>260365.71443397197</v>
      </c>
    </row>
    <row r="39" spans="1:18" x14ac:dyDescent="0.25">
      <c r="A39" s="163">
        <v>8</v>
      </c>
      <c r="B39" s="202">
        <f t="shared" si="4"/>
        <v>44044</v>
      </c>
      <c r="C39" s="226">
        <f t="shared" si="10"/>
        <v>44077</v>
      </c>
      <c r="D39" s="226">
        <f t="shared" si="10"/>
        <v>44098</v>
      </c>
      <c r="E39" s="54" t="s">
        <v>22</v>
      </c>
      <c r="F39" s="163">
        <v>9</v>
      </c>
      <c r="G39" s="205">
        <v>3459</v>
      </c>
      <c r="H39" s="206">
        <f t="shared" si="5"/>
        <v>771.63</v>
      </c>
      <c r="I39" s="206">
        <f t="shared" si="1"/>
        <v>846.24</v>
      </c>
      <c r="J39" s="207">
        <f t="shared" si="2"/>
        <v>2927144.16</v>
      </c>
      <c r="K39" s="214">
        <f t="shared" si="11"/>
        <v>2669068.17</v>
      </c>
      <c r="L39" s="213">
        <f t="shared" si="12"/>
        <v>258075.99000000022</v>
      </c>
      <c r="M39" s="210">
        <f t="shared" si="7"/>
        <v>8690.8957307783949</v>
      </c>
      <c r="N39" s="211">
        <f t="shared" si="8"/>
        <v>266766.88573077862</v>
      </c>
      <c r="O39" s="210">
        <v>0</v>
      </c>
      <c r="P39" s="210">
        <v>0</v>
      </c>
      <c r="Q39" s="210">
        <v>0</v>
      </c>
      <c r="R39" s="211">
        <f t="shared" si="9"/>
        <v>266766.88573077862</v>
      </c>
    </row>
    <row r="40" spans="1:18" x14ac:dyDescent="0.25">
      <c r="A40" s="163">
        <v>9</v>
      </c>
      <c r="B40" s="202">
        <f t="shared" si="4"/>
        <v>44075</v>
      </c>
      <c r="C40" s="226">
        <f t="shared" si="10"/>
        <v>44109</v>
      </c>
      <c r="D40" s="226">
        <f t="shared" si="10"/>
        <v>44130</v>
      </c>
      <c r="E40" s="54" t="s">
        <v>22</v>
      </c>
      <c r="F40" s="163">
        <v>9</v>
      </c>
      <c r="G40" s="205">
        <v>3173</v>
      </c>
      <c r="H40" s="206">
        <f t="shared" si="5"/>
        <v>771.63</v>
      </c>
      <c r="I40" s="206">
        <f t="shared" si="1"/>
        <v>846.24</v>
      </c>
      <c r="J40" s="207">
        <f t="shared" si="2"/>
        <v>2685119.52</v>
      </c>
      <c r="K40" s="214">
        <f t="shared" si="11"/>
        <v>2448381.9899999998</v>
      </c>
      <c r="L40" s="213">
        <f t="shared" si="12"/>
        <v>236737.53000000026</v>
      </c>
      <c r="M40" s="210">
        <f t="shared" si="7"/>
        <v>7972.3076478056801</v>
      </c>
      <c r="N40" s="211">
        <f t="shared" si="8"/>
        <v>244709.83764780595</v>
      </c>
      <c r="O40" s="210">
        <v>0</v>
      </c>
      <c r="P40" s="210">
        <v>0</v>
      </c>
      <c r="Q40" s="210">
        <v>0</v>
      </c>
      <c r="R40" s="211">
        <f t="shared" si="9"/>
        <v>244709.83764780595</v>
      </c>
    </row>
    <row r="41" spans="1:18" x14ac:dyDescent="0.25">
      <c r="A41" s="125">
        <v>10</v>
      </c>
      <c r="B41" s="202">
        <f t="shared" si="4"/>
        <v>44105</v>
      </c>
      <c r="C41" s="226">
        <f t="shared" si="10"/>
        <v>44139</v>
      </c>
      <c r="D41" s="226">
        <f t="shared" si="10"/>
        <v>44159</v>
      </c>
      <c r="E41" s="54" t="s">
        <v>22</v>
      </c>
      <c r="F41" s="163">
        <v>9</v>
      </c>
      <c r="G41" s="205">
        <v>2561</v>
      </c>
      <c r="H41" s="206">
        <f t="shared" si="5"/>
        <v>771.63</v>
      </c>
      <c r="I41" s="206">
        <f t="shared" si="1"/>
        <v>846.24</v>
      </c>
      <c r="J41" s="207">
        <f t="shared" si="2"/>
        <v>2167220.64</v>
      </c>
      <c r="K41" s="214">
        <f t="shared" si="11"/>
        <v>1976144.43</v>
      </c>
      <c r="L41" s="213">
        <f t="shared" si="12"/>
        <v>191076.2100000002</v>
      </c>
      <c r="M41" s="210">
        <f t="shared" si="7"/>
        <v>6434.629652073857</v>
      </c>
      <c r="N41" s="211">
        <f t="shared" si="8"/>
        <v>197510.83965207406</v>
      </c>
      <c r="O41" s="210">
        <v>0</v>
      </c>
      <c r="P41" s="210">
        <v>0</v>
      </c>
      <c r="Q41" s="210">
        <v>0</v>
      </c>
      <c r="R41" s="211">
        <f t="shared" si="9"/>
        <v>197510.83965207406</v>
      </c>
    </row>
    <row r="42" spans="1:18" x14ac:dyDescent="0.25">
      <c r="A42" s="163">
        <v>11</v>
      </c>
      <c r="B42" s="202">
        <f t="shared" si="4"/>
        <v>44136</v>
      </c>
      <c r="C42" s="226">
        <f t="shared" si="10"/>
        <v>44168</v>
      </c>
      <c r="D42" s="226">
        <f t="shared" si="10"/>
        <v>44189</v>
      </c>
      <c r="E42" s="54" t="s">
        <v>22</v>
      </c>
      <c r="F42" s="163">
        <v>9</v>
      </c>
      <c r="G42" s="205">
        <v>2357</v>
      </c>
      <c r="H42" s="206">
        <f t="shared" si="5"/>
        <v>771.63</v>
      </c>
      <c r="I42" s="206">
        <f t="shared" si="1"/>
        <v>846.24</v>
      </c>
      <c r="J42" s="207">
        <f t="shared" si="2"/>
        <v>1994587.68</v>
      </c>
      <c r="K42" s="214">
        <f t="shared" si="11"/>
        <v>1818731.91</v>
      </c>
      <c r="L42" s="213">
        <f t="shared" si="12"/>
        <v>175855.77000000002</v>
      </c>
      <c r="M42" s="210">
        <f t="shared" si="7"/>
        <v>5922.0703201632487</v>
      </c>
      <c r="N42" s="211">
        <f t="shared" si="8"/>
        <v>181777.84032016326</v>
      </c>
      <c r="O42" s="210">
        <v>0</v>
      </c>
      <c r="P42" s="210">
        <v>0</v>
      </c>
      <c r="Q42" s="210">
        <v>0</v>
      </c>
      <c r="R42" s="211">
        <f t="shared" si="9"/>
        <v>181777.84032016326</v>
      </c>
    </row>
    <row r="43" spans="1:18" x14ac:dyDescent="0.25">
      <c r="A43" s="163">
        <v>12</v>
      </c>
      <c r="B43" s="202">
        <f t="shared" si="4"/>
        <v>44166</v>
      </c>
      <c r="C43" s="226">
        <f t="shared" si="10"/>
        <v>44202</v>
      </c>
      <c r="D43" s="226">
        <f t="shared" si="10"/>
        <v>44221</v>
      </c>
      <c r="E43" s="54" t="s">
        <v>22</v>
      </c>
      <c r="F43" s="163">
        <v>9</v>
      </c>
      <c r="G43" s="217">
        <v>2731</v>
      </c>
      <c r="H43" s="218">
        <f t="shared" si="5"/>
        <v>771.63</v>
      </c>
      <c r="I43" s="218">
        <f t="shared" si="1"/>
        <v>846.24</v>
      </c>
      <c r="J43" s="219">
        <f t="shared" si="2"/>
        <v>2311081.44</v>
      </c>
      <c r="K43" s="220">
        <f t="shared" si="11"/>
        <v>2107321.5299999998</v>
      </c>
      <c r="L43" s="221">
        <f t="shared" si="12"/>
        <v>203759.91000000015</v>
      </c>
      <c r="M43" s="210">
        <f t="shared" si="7"/>
        <v>6861.7624286660293</v>
      </c>
      <c r="N43" s="211">
        <f t="shared" si="8"/>
        <v>210621.67242866618</v>
      </c>
      <c r="O43" s="210">
        <v>0</v>
      </c>
      <c r="P43" s="210">
        <v>0</v>
      </c>
      <c r="Q43" s="210">
        <v>0</v>
      </c>
      <c r="R43" s="211">
        <f t="shared" si="9"/>
        <v>210621.67242866618</v>
      </c>
    </row>
    <row r="44" spans="1:18" x14ac:dyDescent="0.25">
      <c r="A44" s="125">
        <v>1</v>
      </c>
      <c r="B44" s="222">
        <f t="shared" ref="B44:B55" si="13">DATE($R$1,A44,1)</f>
        <v>43831</v>
      </c>
      <c r="C44" s="223">
        <f t="shared" ref="C44:D55" si="14">+C32</f>
        <v>43866</v>
      </c>
      <c r="D44" s="223">
        <f t="shared" si="14"/>
        <v>43885</v>
      </c>
      <c r="E44" s="224" t="s">
        <v>81</v>
      </c>
      <c r="F44" s="225">
        <v>9</v>
      </c>
      <c r="G44" s="205">
        <v>145</v>
      </c>
      <c r="H44" s="206">
        <f t="shared" si="5"/>
        <v>771.63</v>
      </c>
      <c r="I44" s="206">
        <f t="shared" si="1"/>
        <v>846.24</v>
      </c>
      <c r="J44" s="210">
        <f t="shared" ref="J44:J55" si="15">+$G44*I44</f>
        <v>122704.8</v>
      </c>
      <c r="K44" s="214">
        <f t="shared" ref="K44:K55" si="16">+$G44*H44</f>
        <v>111886.35</v>
      </c>
      <c r="L44" s="213">
        <f t="shared" ref="L44:L55" si="17">+J44-K44</f>
        <v>10818.449999999997</v>
      </c>
      <c r="M44" s="210">
        <f t="shared" si="7"/>
        <v>364.31913297567718</v>
      </c>
      <c r="N44" s="211">
        <f t="shared" si="8"/>
        <v>11182.769132975674</v>
      </c>
      <c r="O44" s="210">
        <v>0</v>
      </c>
      <c r="P44" s="210">
        <v>0</v>
      </c>
      <c r="Q44" s="210">
        <v>0</v>
      </c>
      <c r="R44" s="211">
        <f t="shared" si="9"/>
        <v>11182.769132975674</v>
      </c>
    </row>
    <row r="45" spans="1:18" x14ac:dyDescent="0.25">
      <c r="A45" s="163">
        <v>2</v>
      </c>
      <c r="B45" s="202">
        <f t="shared" si="13"/>
        <v>43862</v>
      </c>
      <c r="C45" s="226">
        <f t="shared" si="14"/>
        <v>43894</v>
      </c>
      <c r="D45" s="226">
        <f t="shared" si="14"/>
        <v>43914</v>
      </c>
      <c r="E45" s="212" t="s">
        <v>81</v>
      </c>
      <c r="F45" s="163">
        <v>9</v>
      </c>
      <c r="G45" s="205">
        <v>146</v>
      </c>
      <c r="H45" s="206">
        <f t="shared" si="5"/>
        <v>771.63</v>
      </c>
      <c r="I45" s="206">
        <f t="shared" si="1"/>
        <v>846.24</v>
      </c>
      <c r="J45" s="210">
        <f t="shared" si="15"/>
        <v>123551.04000000001</v>
      </c>
      <c r="K45" s="214">
        <f t="shared" si="16"/>
        <v>112657.98</v>
      </c>
      <c r="L45" s="213">
        <f t="shared" si="17"/>
        <v>10893.060000000012</v>
      </c>
      <c r="M45" s="210">
        <f t="shared" si="7"/>
        <v>366.83167872033698</v>
      </c>
      <c r="N45" s="211">
        <f t="shared" si="8"/>
        <v>11259.891678720349</v>
      </c>
      <c r="O45" s="210">
        <v>0</v>
      </c>
      <c r="P45" s="210">
        <v>0</v>
      </c>
      <c r="Q45" s="210">
        <v>0</v>
      </c>
      <c r="R45" s="211">
        <f t="shared" si="9"/>
        <v>11259.891678720349</v>
      </c>
    </row>
    <row r="46" spans="1:18" x14ac:dyDescent="0.25">
      <c r="A46" s="163">
        <v>3</v>
      </c>
      <c r="B46" s="202">
        <f t="shared" si="13"/>
        <v>43891</v>
      </c>
      <c r="C46" s="226">
        <f t="shared" si="14"/>
        <v>43924</v>
      </c>
      <c r="D46" s="226">
        <f t="shared" si="14"/>
        <v>43945</v>
      </c>
      <c r="E46" s="212" t="s">
        <v>81</v>
      </c>
      <c r="F46" s="163">
        <v>9</v>
      </c>
      <c r="G46" s="205">
        <v>97</v>
      </c>
      <c r="H46" s="206">
        <f t="shared" si="5"/>
        <v>771.63</v>
      </c>
      <c r="I46" s="206">
        <f t="shared" si="1"/>
        <v>846.24</v>
      </c>
      <c r="J46" s="210">
        <f t="shared" si="15"/>
        <v>82085.279999999999</v>
      </c>
      <c r="K46" s="214">
        <f t="shared" si="16"/>
        <v>74848.11</v>
      </c>
      <c r="L46" s="213">
        <f t="shared" si="17"/>
        <v>7237.1699999999983</v>
      </c>
      <c r="M46" s="210">
        <f t="shared" si="7"/>
        <v>243.71693723200471</v>
      </c>
      <c r="N46" s="211">
        <f t="shared" si="8"/>
        <v>7480.8869372320032</v>
      </c>
      <c r="O46" s="210">
        <v>0</v>
      </c>
      <c r="P46" s="210">
        <v>0</v>
      </c>
      <c r="Q46" s="210">
        <v>0</v>
      </c>
      <c r="R46" s="211">
        <f t="shared" si="9"/>
        <v>7480.8869372320032</v>
      </c>
    </row>
    <row r="47" spans="1:18" x14ac:dyDescent="0.25">
      <c r="A47" s="125">
        <v>4</v>
      </c>
      <c r="B47" s="202">
        <f t="shared" si="13"/>
        <v>43922</v>
      </c>
      <c r="C47" s="226">
        <f t="shared" si="14"/>
        <v>43956</v>
      </c>
      <c r="D47" s="226">
        <f t="shared" si="14"/>
        <v>43976</v>
      </c>
      <c r="E47" s="212" t="s">
        <v>81</v>
      </c>
      <c r="F47" s="163">
        <v>9</v>
      </c>
      <c r="G47" s="205">
        <v>94</v>
      </c>
      <c r="H47" s="206">
        <f t="shared" si="5"/>
        <v>771.63</v>
      </c>
      <c r="I47" s="206">
        <f t="shared" si="1"/>
        <v>846.24</v>
      </c>
      <c r="J47" s="210">
        <f t="shared" si="15"/>
        <v>79546.559999999998</v>
      </c>
      <c r="K47" s="214">
        <f t="shared" si="16"/>
        <v>72533.22</v>
      </c>
      <c r="L47" s="213">
        <f t="shared" si="17"/>
        <v>7013.3399999999965</v>
      </c>
      <c r="M47" s="210">
        <f t="shared" si="7"/>
        <v>236.17929999802521</v>
      </c>
      <c r="N47" s="211">
        <f t="shared" si="8"/>
        <v>7249.5192999980218</v>
      </c>
      <c r="O47" s="210">
        <v>0</v>
      </c>
      <c r="P47" s="210">
        <v>0</v>
      </c>
      <c r="Q47" s="210">
        <v>0</v>
      </c>
      <c r="R47" s="211">
        <f t="shared" si="9"/>
        <v>7249.5192999980218</v>
      </c>
    </row>
    <row r="48" spans="1:18" x14ac:dyDescent="0.25">
      <c r="A48" s="163">
        <v>5</v>
      </c>
      <c r="B48" s="202">
        <f t="shared" si="13"/>
        <v>43952</v>
      </c>
      <c r="C48" s="226">
        <f t="shared" si="14"/>
        <v>43985</v>
      </c>
      <c r="D48" s="226">
        <f t="shared" si="14"/>
        <v>44006</v>
      </c>
      <c r="E48" s="212" t="s">
        <v>81</v>
      </c>
      <c r="F48" s="163">
        <v>9</v>
      </c>
      <c r="G48" s="205">
        <v>106</v>
      </c>
      <c r="H48" s="206">
        <f t="shared" si="5"/>
        <v>771.63</v>
      </c>
      <c r="I48" s="206">
        <f t="shared" si="1"/>
        <v>846.24</v>
      </c>
      <c r="J48" s="210">
        <f t="shared" si="15"/>
        <v>89701.440000000002</v>
      </c>
      <c r="K48" s="214">
        <f t="shared" si="16"/>
        <v>81792.78</v>
      </c>
      <c r="L48" s="213">
        <f t="shared" si="17"/>
        <v>7908.6600000000035</v>
      </c>
      <c r="M48" s="210">
        <f t="shared" si="7"/>
        <v>266.32984893394331</v>
      </c>
      <c r="N48" s="211">
        <f t="shared" si="8"/>
        <v>8174.9898489339466</v>
      </c>
      <c r="O48" s="210">
        <v>0</v>
      </c>
      <c r="P48" s="210">
        <v>0</v>
      </c>
      <c r="Q48" s="210">
        <v>0</v>
      </c>
      <c r="R48" s="211">
        <f t="shared" si="9"/>
        <v>8174.9898489339466</v>
      </c>
    </row>
    <row r="49" spans="1:18" x14ac:dyDescent="0.25">
      <c r="A49" s="163">
        <v>6</v>
      </c>
      <c r="B49" s="202">
        <f t="shared" si="13"/>
        <v>43983</v>
      </c>
      <c r="C49" s="226">
        <f t="shared" si="14"/>
        <v>44015</v>
      </c>
      <c r="D49" s="226">
        <f t="shared" si="14"/>
        <v>44036</v>
      </c>
      <c r="E49" s="212" t="s">
        <v>81</v>
      </c>
      <c r="F49" s="163">
        <v>9</v>
      </c>
      <c r="G49" s="205">
        <v>132</v>
      </c>
      <c r="H49" s="206">
        <f t="shared" si="5"/>
        <v>771.63</v>
      </c>
      <c r="I49" s="206">
        <f t="shared" si="1"/>
        <v>846.24</v>
      </c>
      <c r="J49" s="210">
        <f t="shared" si="15"/>
        <v>111703.68000000001</v>
      </c>
      <c r="K49" s="214">
        <f t="shared" si="16"/>
        <v>101855.16</v>
      </c>
      <c r="L49" s="213">
        <f t="shared" si="17"/>
        <v>9848.5200000000041</v>
      </c>
      <c r="M49" s="210">
        <f t="shared" si="7"/>
        <v>331.65603829509922</v>
      </c>
      <c r="N49" s="211">
        <f t="shared" si="8"/>
        <v>10180.176038295103</v>
      </c>
      <c r="O49" s="210">
        <v>0</v>
      </c>
      <c r="P49" s="210">
        <v>0</v>
      </c>
      <c r="Q49" s="210">
        <v>0</v>
      </c>
      <c r="R49" s="211">
        <f t="shared" si="9"/>
        <v>10180.176038295103</v>
      </c>
    </row>
    <row r="50" spans="1:18" x14ac:dyDescent="0.25">
      <c r="A50" s="125">
        <v>7</v>
      </c>
      <c r="B50" s="202">
        <f t="shared" si="13"/>
        <v>44013</v>
      </c>
      <c r="C50" s="226">
        <f t="shared" si="14"/>
        <v>44048</v>
      </c>
      <c r="D50" s="226">
        <f t="shared" si="14"/>
        <v>44067</v>
      </c>
      <c r="E50" s="212" t="s">
        <v>81</v>
      </c>
      <c r="F50" s="163">
        <v>9</v>
      </c>
      <c r="G50" s="205">
        <v>139</v>
      </c>
      <c r="H50" s="206">
        <f t="shared" si="5"/>
        <v>771.63</v>
      </c>
      <c r="I50" s="206">
        <f t="shared" si="1"/>
        <v>846.24</v>
      </c>
      <c r="J50" s="210">
        <f t="shared" si="15"/>
        <v>117627.36</v>
      </c>
      <c r="K50" s="214">
        <f t="shared" si="16"/>
        <v>107256.56999999999</v>
      </c>
      <c r="L50" s="213">
        <f t="shared" si="17"/>
        <v>10370.790000000008</v>
      </c>
      <c r="M50" s="210">
        <f t="shared" si="7"/>
        <v>349.24385850771807</v>
      </c>
      <c r="N50" s="211">
        <f t="shared" si="8"/>
        <v>10720.033858507726</v>
      </c>
      <c r="O50" s="210">
        <v>0</v>
      </c>
      <c r="P50" s="210">
        <v>0</v>
      </c>
      <c r="Q50" s="210">
        <v>0</v>
      </c>
      <c r="R50" s="211">
        <f t="shared" si="9"/>
        <v>10720.033858507726</v>
      </c>
    </row>
    <row r="51" spans="1:18" x14ac:dyDescent="0.25">
      <c r="A51" s="163">
        <v>8</v>
      </c>
      <c r="B51" s="202">
        <f t="shared" si="13"/>
        <v>44044</v>
      </c>
      <c r="C51" s="226">
        <f t="shared" si="14"/>
        <v>44077</v>
      </c>
      <c r="D51" s="226">
        <f t="shared" si="14"/>
        <v>44098</v>
      </c>
      <c r="E51" s="212" t="s">
        <v>81</v>
      </c>
      <c r="F51" s="163">
        <v>9</v>
      </c>
      <c r="G51" s="205">
        <v>136</v>
      </c>
      <c r="H51" s="206">
        <f t="shared" si="5"/>
        <v>771.63</v>
      </c>
      <c r="I51" s="206">
        <f t="shared" si="1"/>
        <v>846.24</v>
      </c>
      <c r="J51" s="210">
        <f t="shared" si="15"/>
        <v>115088.64</v>
      </c>
      <c r="K51" s="214">
        <f t="shared" si="16"/>
        <v>104941.68</v>
      </c>
      <c r="L51" s="213">
        <f t="shared" si="17"/>
        <v>10146.960000000006</v>
      </c>
      <c r="M51" s="210">
        <f t="shared" si="7"/>
        <v>341.70622127373861</v>
      </c>
      <c r="N51" s="211">
        <f t="shared" si="8"/>
        <v>10488.666221273745</v>
      </c>
      <c r="O51" s="210">
        <v>0</v>
      </c>
      <c r="P51" s="210">
        <v>0</v>
      </c>
      <c r="Q51" s="210">
        <v>0</v>
      </c>
      <c r="R51" s="211">
        <f t="shared" si="9"/>
        <v>10488.666221273745</v>
      </c>
    </row>
    <row r="52" spans="1:18" x14ac:dyDescent="0.25">
      <c r="A52" s="163">
        <v>9</v>
      </c>
      <c r="B52" s="202">
        <f t="shared" si="13"/>
        <v>44075</v>
      </c>
      <c r="C52" s="226">
        <f t="shared" si="14"/>
        <v>44109</v>
      </c>
      <c r="D52" s="226">
        <f t="shared" si="14"/>
        <v>44130</v>
      </c>
      <c r="E52" s="212" t="s">
        <v>81</v>
      </c>
      <c r="F52" s="163">
        <v>9</v>
      </c>
      <c r="G52" s="205">
        <v>116</v>
      </c>
      <c r="H52" s="206">
        <f t="shared" si="5"/>
        <v>771.63</v>
      </c>
      <c r="I52" s="206">
        <f t="shared" si="1"/>
        <v>846.24</v>
      </c>
      <c r="J52" s="210">
        <f t="shared" si="15"/>
        <v>98163.839999999997</v>
      </c>
      <c r="K52" s="214">
        <f t="shared" si="16"/>
        <v>89509.08</v>
      </c>
      <c r="L52" s="213">
        <f t="shared" si="17"/>
        <v>8654.7599999999948</v>
      </c>
      <c r="M52" s="210">
        <f t="shared" si="7"/>
        <v>291.45530638054174</v>
      </c>
      <c r="N52" s="211">
        <f t="shared" si="8"/>
        <v>8946.2153063805363</v>
      </c>
      <c r="O52" s="210">
        <v>0</v>
      </c>
      <c r="P52" s="210">
        <v>0</v>
      </c>
      <c r="Q52" s="210">
        <v>0</v>
      </c>
      <c r="R52" s="211">
        <f t="shared" si="9"/>
        <v>8946.2153063805363</v>
      </c>
    </row>
    <row r="53" spans="1:18" x14ac:dyDescent="0.25">
      <c r="A53" s="125">
        <v>10</v>
      </c>
      <c r="B53" s="202">
        <f t="shared" si="13"/>
        <v>44105</v>
      </c>
      <c r="C53" s="226">
        <f t="shared" si="14"/>
        <v>44139</v>
      </c>
      <c r="D53" s="226">
        <f t="shared" si="14"/>
        <v>44159</v>
      </c>
      <c r="E53" s="212" t="s">
        <v>81</v>
      </c>
      <c r="F53" s="163">
        <v>9</v>
      </c>
      <c r="G53" s="205">
        <v>78</v>
      </c>
      <c r="H53" s="206">
        <f t="shared" si="5"/>
        <v>771.63</v>
      </c>
      <c r="I53" s="206">
        <f t="shared" si="1"/>
        <v>846.24</v>
      </c>
      <c r="J53" s="210">
        <f t="shared" si="15"/>
        <v>66006.720000000001</v>
      </c>
      <c r="K53" s="214">
        <f t="shared" si="16"/>
        <v>60187.14</v>
      </c>
      <c r="L53" s="213">
        <f t="shared" si="17"/>
        <v>5819.5800000000017</v>
      </c>
      <c r="M53" s="210">
        <f t="shared" si="7"/>
        <v>195.97856808346771</v>
      </c>
      <c r="N53" s="211">
        <f t="shared" si="8"/>
        <v>6015.5585680834693</v>
      </c>
      <c r="O53" s="210">
        <v>0</v>
      </c>
      <c r="P53" s="210">
        <v>0</v>
      </c>
      <c r="Q53" s="210">
        <v>0</v>
      </c>
      <c r="R53" s="211">
        <f t="shared" si="9"/>
        <v>6015.5585680834693</v>
      </c>
    </row>
    <row r="54" spans="1:18" x14ac:dyDescent="0.25">
      <c r="A54" s="163">
        <v>11</v>
      </c>
      <c r="B54" s="202">
        <f t="shared" si="13"/>
        <v>44136</v>
      </c>
      <c r="C54" s="226">
        <f t="shared" si="14"/>
        <v>44168</v>
      </c>
      <c r="D54" s="226">
        <f t="shared" si="14"/>
        <v>44189</v>
      </c>
      <c r="E54" s="212" t="s">
        <v>81</v>
      </c>
      <c r="F54" s="163">
        <v>9</v>
      </c>
      <c r="G54" s="205">
        <v>109</v>
      </c>
      <c r="H54" s="206">
        <f t="shared" si="5"/>
        <v>771.63</v>
      </c>
      <c r="I54" s="206">
        <f t="shared" si="1"/>
        <v>846.24</v>
      </c>
      <c r="J54" s="210">
        <f t="shared" si="15"/>
        <v>92240.16</v>
      </c>
      <c r="K54" s="214">
        <f t="shared" si="16"/>
        <v>84107.67</v>
      </c>
      <c r="L54" s="213">
        <f t="shared" si="17"/>
        <v>8132.4900000000052</v>
      </c>
      <c r="M54" s="210">
        <f t="shared" si="7"/>
        <v>273.86748616792278</v>
      </c>
      <c r="N54" s="211">
        <f t="shared" si="8"/>
        <v>8406.3574861679281</v>
      </c>
      <c r="O54" s="210">
        <v>0</v>
      </c>
      <c r="P54" s="210">
        <v>0</v>
      </c>
      <c r="Q54" s="210">
        <v>0</v>
      </c>
      <c r="R54" s="211">
        <f t="shared" si="9"/>
        <v>8406.3574861679281</v>
      </c>
    </row>
    <row r="55" spans="1:18" x14ac:dyDescent="0.25">
      <c r="A55" s="163">
        <v>12</v>
      </c>
      <c r="B55" s="202">
        <f t="shared" si="13"/>
        <v>44166</v>
      </c>
      <c r="C55" s="226">
        <f t="shared" si="14"/>
        <v>44202</v>
      </c>
      <c r="D55" s="226">
        <f t="shared" si="14"/>
        <v>44221</v>
      </c>
      <c r="E55" s="212" t="s">
        <v>81</v>
      </c>
      <c r="F55" s="163">
        <v>9</v>
      </c>
      <c r="G55" s="217">
        <v>143</v>
      </c>
      <c r="H55" s="218">
        <f t="shared" si="5"/>
        <v>771.63</v>
      </c>
      <c r="I55" s="218">
        <f t="shared" si="1"/>
        <v>846.24</v>
      </c>
      <c r="J55" s="219">
        <f t="shared" si="15"/>
        <v>121012.32</v>
      </c>
      <c r="K55" s="220">
        <f t="shared" si="16"/>
        <v>110343.09</v>
      </c>
      <c r="L55" s="221">
        <f t="shared" si="17"/>
        <v>10669.23000000001</v>
      </c>
      <c r="M55" s="210">
        <f t="shared" si="7"/>
        <v>359.29404148635746</v>
      </c>
      <c r="N55" s="211">
        <f t="shared" si="8"/>
        <v>11028.524041486367</v>
      </c>
      <c r="O55" s="210">
        <v>0</v>
      </c>
      <c r="P55" s="210">
        <v>0</v>
      </c>
      <c r="Q55" s="210">
        <v>0</v>
      </c>
      <c r="R55" s="211">
        <f t="shared" si="9"/>
        <v>11028.524041486367</v>
      </c>
    </row>
    <row r="56" spans="1:18" s="227" customFormat="1" x14ac:dyDescent="0.25">
      <c r="A56" s="125">
        <v>1</v>
      </c>
      <c r="B56" s="222">
        <f t="shared" si="4"/>
        <v>43831</v>
      </c>
      <c r="C56" s="223">
        <f t="shared" ref="C56:D67" si="18">+C32</f>
        <v>43866</v>
      </c>
      <c r="D56" s="223">
        <f t="shared" si="18"/>
        <v>43885</v>
      </c>
      <c r="E56" s="224" t="s">
        <v>14</v>
      </c>
      <c r="F56" s="225">
        <v>9</v>
      </c>
      <c r="G56" s="205">
        <v>753</v>
      </c>
      <c r="H56" s="206">
        <f t="shared" si="5"/>
        <v>771.63</v>
      </c>
      <c r="I56" s="206">
        <f t="shared" si="1"/>
        <v>846.24</v>
      </c>
      <c r="J56" s="207">
        <f t="shared" si="2"/>
        <v>637218.72</v>
      </c>
      <c r="K56" s="208">
        <f t="shared" si="11"/>
        <v>581037.39</v>
      </c>
      <c r="L56" s="209">
        <f t="shared" si="12"/>
        <v>56181.329999999958</v>
      </c>
      <c r="M56" s="210">
        <f t="shared" si="7"/>
        <v>1891.9469457288612</v>
      </c>
      <c r="N56" s="211">
        <f t="shared" si="8"/>
        <v>58073.276945728816</v>
      </c>
      <c r="O56" s="210">
        <v>0</v>
      </c>
      <c r="P56" s="210">
        <v>0</v>
      </c>
      <c r="Q56" s="210">
        <v>0</v>
      </c>
      <c r="R56" s="211">
        <f t="shared" si="9"/>
        <v>58073.276945728816</v>
      </c>
    </row>
    <row r="57" spans="1:18" x14ac:dyDescent="0.25">
      <c r="A57" s="163">
        <v>2</v>
      </c>
      <c r="B57" s="202">
        <f t="shared" si="4"/>
        <v>43862</v>
      </c>
      <c r="C57" s="226">
        <f t="shared" si="18"/>
        <v>43894</v>
      </c>
      <c r="D57" s="226">
        <f t="shared" si="18"/>
        <v>43914</v>
      </c>
      <c r="E57" s="212" t="s">
        <v>14</v>
      </c>
      <c r="F57" s="163">
        <v>9</v>
      </c>
      <c r="G57" s="205">
        <v>715</v>
      </c>
      <c r="H57" s="206">
        <f t="shared" si="5"/>
        <v>771.63</v>
      </c>
      <c r="I57" s="206">
        <f t="shared" si="1"/>
        <v>846.24</v>
      </c>
      <c r="J57" s="207">
        <f t="shared" si="2"/>
        <v>605061.6</v>
      </c>
      <c r="K57" s="208">
        <f t="shared" si="11"/>
        <v>551715.44999999995</v>
      </c>
      <c r="L57" s="209">
        <f t="shared" si="12"/>
        <v>53346.150000000023</v>
      </c>
      <c r="M57" s="210">
        <f t="shared" si="7"/>
        <v>1796.4702074317875</v>
      </c>
      <c r="N57" s="211">
        <f t="shared" si="8"/>
        <v>55142.620207431813</v>
      </c>
      <c r="O57" s="210">
        <v>0</v>
      </c>
      <c r="P57" s="210">
        <v>0</v>
      </c>
      <c r="Q57" s="210">
        <v>0</v>
      </c>
      <c r="R57" s="211">
        <f t="shared" si="9"/>
        <v>55142.620207431813</v>
      </c>
    </row>
    <row r="58" spans="1:18" x14ac:dyDescent="0.25">
      <c r="A58" s="163">
        <v>3</v>
      </c>
      <c r="B58" s="202">
        <f t="shared" si="4"/>
        <v>43891</v>
      </c>
      <c r="C58" s="226">
        <f t="shared" si="18"/>
        <v>43924</v>
      </c>
      <c r="D58" s="226">
        <f t="shared" si="18"/>
        <v>43945</v>
      </c>
      <c r="E58" s="212" t="s">
        <v>14</v>
      </c>
      <c r="F58" s="163">
        <v>9</v>
      </c>
      <c r="G58" s="205">
        <v>510</v>
      </c>
      <c r="H58" s="206">
        <f t="shared" si="5"/>
        <v>771.63</v>
      </c>
      <c r="I58" s="206">
        <f t="shared" si="1"/>
        <v>846.24</v>
      </c>
      <c r="J58" s="207">
        <f t="shared" si="2"/>
        <v>431582.4</v>
      </c>
      <c r="K58" s="208">
        <f t="shared" si="11"/>
        <v>393531.3</v>
      </c>
      <c r="L58" s="209">
        <f>+J58-K58</f>
        <v>38051.100000000035</v>
      </c>
      <c r="M58" s="210">
        <f t="shared" si="7"/>
        <v>1281.3983297765196</v>
      </c>
      <c r="N58" s="211">
        <f t="shared" si="8"/>
        <v>39332.498329776558</v>
      </c>
      <c r="O58" s="210">
        <v>0</v>
      </c>
      <c r="P58" s="210">
        <v>0</v>
      </c>
      <c r="Q58" s="210">
        <v>0</v>
      </c>
      <c r="R58" s="211">
        <f t="shared" si="9"/>
        <v>39332.498329776558</v>
      </c>
    </row>
    <row r="59" spans="1:18" x14ac:dyDescent="0.25">
      <c r="A59" s="125">
        <v>4</v>
      </c>
      <c r="B59" s="202">
        <f t="shared" si="4"/>
        <v>43922</v>
      </c>
      <c r="C59" s="226">
        <f t="shared" si="18"/>
        <v>43956</v>
      </c>
      <c r="D59" s="226">
        <f t="shared" si="18"/>
        <v>43976</v>
      </c>
      <c r="E59" s="212" t="s">
        <v>14</v>
      </c>
      <c r="F59" s="163">
        <v>9</v>
      </c>
      <c r="G59" s="205">
        <v>615</v>
      </c>
      <c r="H59" s="206">
        <f t="shared" si="5"/>
        <v>771.63</v>
      </c>
      <c r="I59" s="206">
        <f t="shared" si="1"/>
        <v>846.24</v>
      </c>
      <c r="J59" s="207">
        <f t="shared" si="2"/>
        <v>520437.6</v>
      </c>
      <c r="K59" s="208">
        <f t="shared" si="11"/>
        <v>474552.45</v>
      </c>
      <c r="L59" s="209">
        <f t="shared" ref="L59:L81" si="19">+J59-K59</f>
        <v>45885.149999999965</v>
      </c>
      <c r="M59" s="210">
        <f t="shared" si="7"/>
        <v>1545.215632965803</v>
      </c>
      <c r="N59" s="211">
        <f t="shared" si="8"/>
        <v>47430.365632965768</v>
      </c>
      <c r="O59" s="210">
        <v>0</v>
      </c>
      <c r="P59" s="210">
        <v>0</v>
      </c>
      <c r="Q59" s="210">
        <v>0</v>
      </c>
      <c r="R59" s="211">
        <f t="shared" si="9"/>
        <v>47430.365632965768</v>
      </c>
    </row>
    <row r="60" spans="1:18" x14ac:dyDescent="0.25">
      <c r="A60" s="163">
        <v>5</v>
      </c>
      <c r="B60" s="202">
        <f t="shared" si="4"/>
        <v>43952</v>
      </c>
      <c r="C60" s="226">
        <f t="shared" si="18"/>
        <v>43985</v>
      </c>
      <c r="D60" s="226">
        <f t="shared" si="18"/>
        <v>44006</v>
      </c>
      <c r="E60" s="54" t="s">
        <v>14</v>
      </c>
      <c r="F60" s="163">
        <v>9</v>
      </c>
      <c r="G60" s="205">
        <v>551</v>
      </c>
      <c r="H60" s="206">
        <f t="shared" si="5"/>
        <v>771.63</v>
      </c>
      <c r="I60" s="206">
        <f t="shared" si="1"/>
        <v>846.24</v>
      </c>
      <c r="J60" s="207">
        <f t="shared" si="2"/>
        <v>466278.24</v>
      </c>
      <c r="K60" s="208">
        <f t="shared" si="11"/>
        <v>425168.13</v>
      </c>
      <c r="L60" s="209">
        <f t="shared" si="19"/>
        <v>41110.109999999986</v>
      </c>
      <c r="M60" s="210">
        <f t="shared" si="7"/>
        <v>1384.4127053075731</v>
      </c>
      <c r="N60" s="211">
        <f t="shared" si="8"/>
        <v>42494.522705307558</v>
      </c>
      <c r="O60" s="210">
        <v>0</v>
      </c>
      <c r="P60" s="210">
        <v>0</v>
      </c>
      <c r="Q60" s="210">
        <v>0</v>
      </c>
      <c r="R60" s="211">
        <f t="shared" si="9"/>
        <v>42494.522705307558</v>
      </c>
    </row>
    <row r="61" spans="1:18" x14ac:dyDescent="0.25">
      <c r="A61" s="163">
        <v>6</v>
      </c>
      <c r="B61" s="202">
        <f t="shared" si="4"/>
        <v>43983</v>
      </c>
      <c r="C61" s="226">
        <f t="shared" si="18"/>
        <v>44015</v>
      </c>
      <c r="D61" s="226">
        <f t="shared" si="18"/>
        <v>44036</v>
      </c>
      <c r="E61" s="54" t="s">
        <v>14</v>
      </c>
      <c r="F61" s="163">
        <v>9</v>
      </c>
      <c r="G61" s="205">
        <v>815</v>
      </c>
      <c r="H61" s="206">
        <f t="shared" si="5"/>
        <v>771.63</v>
      </c>
      <c r="I61" s="206">
        <f t="shared" si="1"/>
        <v>846.24</v>
      </c>
      <c r="J61" s="207">
        <f t="shared" si="2"/>
        <v>689685.6</v>
      </c>
      <c r="K61" s="208">
        <f t="shared" si="11"/>
        <v>628878.44999999995</v>
      </c>
      <c r="L61" s="213">
        <f t="shared" si="19"/>
        <v>60807.150000000023</v>
      </c>
      <c r="M61" s="210">
        <f t="shared" si="7"/>
        <v>2047.7247818977714</v>
      </c>
      <c r="N61" s="211">
        <f t="shared" si="8"/>
        <v>62854.874781897794</v>
      </c>
      <c r="O61" s="210">
        <v>0</v>
      </c>
      <c r="P61" s="210">
        <v>0</v>
      </c>
      <c r="Q61" s="210">
        <v>0</v>
      </c>
      <c r="R61" s="211">
        <f t="shared" si="9"/>
        <v>62854.874781897794</v>
      </c>
    </row>
    <row r="62" spans="1:18" x14ac:dyDescent="0.25">
      <c r="A62" s="125">
        <v>7</v>
      </c>
      <c r="B62" s="202">
        <f t="shared" si="4"/>
        <v>44013</v>
      </c>
      <c r="C62" s="226">
        <f t="shared" si="18"/>
        <v>44048</v>
      </c>
      <c r="D62" s="226">
        <f t="shared" si="18"/>
        <v>44067</v>
      </c>
      <c r="E62" s="54" t="s">
        <v>14</v>
      </c>
      <c r="F62" s="163">
        <v>9</v>
      </c>
      <c r="G62" s="205">
        <v>816</v>
      </c>
      <c r="H62" s="206">
        <f t="shared" si="5"/>
        <v>771.63</v>
      </c>
      <c r="I62" s="206">
        <f t="shared" si="1"/>
        <v>846.24</v>
      </c>
      <c r="J62" s="207">
        <f t="shared" si="2"/>
        <v>690531.83999999997</v>
      </c>
      <c r="K62" s="214">
        <f t="shared" si="11"/>
        <v>629650.07999999996</v>
      </c>
      <c r="L62" s="213">
        <f t="shared" si="19"/>
        <v>60881.760000000009</v>
      </c>
      <c r="M62" s="210">
        <f t="shared" si="7"/>
        <v>2050.2373276424314</v>
      </c>
      <c r="N62" s="211">
        <f t="shared" si="8"/>
        <v>62931.997327642443</v>
      </c>
      <c r="O62" s="210">
        <v>0</v>
      </c>
      <c r="P62" s="210">
        <v>0</v>
      </c>
      <c r="Q62" s="210">
        <v>0</v>
      </c>
      <c r="R62" s="211">
        <f t="shared" si="9"/>
        <v>62931.997327642443</v>
      </c>
    </row>
    <row r="63" spans="1:18" x14ac:dyDescent="0.25">
      <c r="A63" s="163">
        <v>8</v>
      </c>
      <c r="B63" s="202">
        <f t="shared" si="4"/>
        <v>44044</v>
      </c>
      <c r="C63" s="226">
        <f t="shared" si="18"/>
        <v>44077</v>
      </c>
      <c r="D63" s="226">
        <f t="shared" si="18"/>
        <v>44098</v>
      </c>
      <c r="E63" s="54" t="s">
        <v>14</v>
      </c>
      <c r="F63" s="163">
        <v>9</v>
      </c>
      <c r="G63" s="205">
        <v>889</v>
      </c>
      <c r="H63" s="206">
        <f t="shared" si="5"/>
        <v>771.63</v>
      </c>
      <c r="I63" s="206">
        <f t="shared" si="1"/>
        <v>846.24</v>
      </c>
      <c r="J63" s="207">
        <f t="shared" si="2"/>
        <v>752307.36</v>
      </c>
      <c r="K63" s="214">
        <f t="shared" si="11"/>
        <v>685979.07</v>
      </c>
      <c r="L63" s="213">
        <f t="shared" si="19"/>
        <v>66328.290000000037</v>
      </c>
      <c r="M63" s="210">
        <f t="shared" si="7"/>
        <v>2233.6531670026002</v>
      </c>
      <c r="N63" s="211">
        <f t="shared" si="8"/>
        <v>68561.943167002639</v>
      </c>
      <c r="O63" s="210">
        <v>0</v>
      </c>
      <c r="P63" s="210">
        <v>0</v>
      </c>
      <c r="Q63" s="210">
        <v>0</v>
      </c>
      <c r="R63" s="211">
        <f t="shared" si="9"/>
        <v>68561.943167002639</v>
      </c>
    </row>
    <row r="64" spans="1:18" x14ac:dyDescent="0.25">
      <c r="A64" s="163">
        <v>9</v>
      </c>
      <c r="B64" s="202">
        <f t="shared" si="4"/>
        <v>44075</v>
      </c>
      <c r="C64" s="226">
        <f t="shared" si="18"/>
        <v>44109</v>
      </c>
      <c r="D64" s="226">
        <f t="shared" si="18"/>
        <v>44130</v>
      </c>
      <c r="E64" s="54" t="s">
        <v>14</v>
      </c>
      <c r="F64" s="163">
        <v>9</v>
      </c>
      <c r="G64" s="205">
        <v>768</v>
      </c>
      <c r="H64" s="206">
        <f t="shared" si="5"/>
        <v>771.63</v>
      </c>
      <c r="I64" s="206">
        <f t="shared" ref="I64:I107" si="20">$J$3</f>
        <v>846.24</v>
      </c>
      <c r="J64" s="207">
        <f t="shared" si="2"/>
        <v>649912.32000000007</v>
      </c>
      <c r="K64" s="214">
        <f t="shared" si="11"/>
        <v>592611.83999999997</v>
      </c>
      <c r="L64" s="213">
        <f t="shared" si="19"/>
        <v>57300.480000000098</v>
      </c>
      <c r="M64" s="210">
        <f t="shared" si="7"/>
        <v>1929.6351318987588</v>
      </c>
      <c r="N64" s="211">
        <f t="shared" si="8"/>
        <v>59230.115131898856</v>
      </c>
      <c r="O64" s="210">
        <v>0</v>
      </c>
      <c r="P64" s="210">
        <v>0</v>
      </c>
      <c r="Q64" s="210">
        <v>0</v>
      </c>
      <c r="R64" s="211">
        <f t="shared" si="9"/>
        <v>59230.115131898856</v>
      </c>
    </row>
    <row r="65" spans="1:18" x14ac:dyDescent="0.25">
      <c r="A65" s="125">
        <v>10</v>
      </c>
      <c r="B65" s="202">
        <f t="shared" si="4"/>
        <v>44105</v>
      </c>
      <c r="C65" s="226">
        <f t="shared" si="18"/>
        <v>44139</v>
      </c>
      <c r="D65" s="226">
        <f t="shared" si="18"/>
        <v>44159</v>
      </c>
      <c r="E65" s="54" t="s">
        <v>14</v>
      </c>
      <c r="F65" s="163">
        <v>9</v>
      </c>
      <c r="G65" s="205">
        <v>633</v>
      </c>
      <c r="H65" s="206">
        <f t="shared" si="5"/>
        <v>771.63</v>
      </c>
      <c r="I65" s="206">
        <f t="shared" si="20"/>
        <v>846.24</v>
      </c>
      <c r="J65" s="207">
        <f t="shared" si="2"/>
        <v>535669.92000000004</v>
      </c>
      <c r="K65" s="214">
        <f t="shared" si="11"/>
        <v>488441.79</v>
      </c>
      <c r="L65" s="213">
        <f t="shared" si="19"/>
        <v>47228.130000000063</v>
      </c>
      <c r="M65" s="210">
        <f t="shared" si="7"/>
        <v>1590.4414563696803</v>
      </c>
      <c r="N65" s="211">
        <f t="shared" si="8"/>
        <v>48818.57145636974</v>
      </c>
      <c r="O65" s="210">
        <v>0</v>
      </c>
      <c r="P65" s="210">
        <v>0</v>
      </c>
      <c r="Q65" s="210">
        <v>0</v>
      </c>
      <c r="R65" s="211">
        <f t="shared" si="9"/>
        <v>48818.57145636974</v>
      </c>
    </row>
    <row r="66" spans="1:18" x14ac:dyDescent="0.25">
      <c r="A66" s="163">
        <v>11</v>
      </c>
      <c r="B66" s="202">
        <f t="shared" si="4"/>
        <v>44136</v>
      </c>
      <c r="C66" s="226">
        <f t="shared" si="18"/>
        <v>44168</v>
      </c>
      <c r="D66" s="226">
        <f t="shared" si="18"/>
        <v>44189</v>
      </c>
      <c r="E66" s="54" t="s">
        <v>14</v>
      </c>
      <c r="F66" s="163">
        <v>9</v>
      </c>
      <c r="G66" s="205">
        <v>639</v>
      </c>
      <c r="H66" s="206">
        <f t="shared" si="5"/>
        <v>771.63</v>
      </c>
      <c r="I66" s="206">
        <f t="shared" si="20"/>
        <v>846.24</v>
      </c>
      <c r="J66" s="207">
        <f t="shared" si="2"/>
        <v>540747.36</v>
      </c>
      <c r="K66" s="214">
        <f t="shared" si="11"/>
        <v>493071.57</v>
      </c>
      <c r="L66" s="213">
        <f t="shared" si="19"/>
        <v>47675.789999999979</v>
      </c>
      <c r="M66" s="210">
        <f t="shared" si="7"/>
        <v>1605.5167308376392</v>
      </c>
      <c r="N66" s="211">
        <f t="shared" si="8"/>
        <v>49281.306730837619</v>
      </c>
      <c r="O66" s="210">
        <v>0</v>
      </c>
      <c r="P66" s="210">
        <v>0</v>
      </c>
      <c r="Q66" s="210">
        <v>0</v>
      </c>
      <c r="R66" s="211">
        <f t="shared" si="9"/>
        <v>49281.306730837619</v>
      </c>
    </row>
    <row r="67" spans="1:18" s="230" customFormat="1" x14ac:dyDescent="0.25">
      <c r="A67" s="163">
        <v>12</v>
      </c>
      <c r="B67" s="228">
        <f t="shared" si="4"/>
        <v>44166</v>
      </c>
      <c r="C67" s="226">
        <f t="shared" si="18"/>
        <v>44202</v>
      </c>
      <c r="D67" s="226">
        <f t="shared" si="18"/>
        <v>44221</v>
      </c>
      <c r="E67" s="229" t="s">
        <v>14</v>
      </c>
      <c r="F67" s="174">
        <v>9</v>
      </c>
      <c r="G67" s="217">
        <v>734</v>
      </c>
      <c r="H67" s="218">
        <f t="shared" si="5"/>
        <v>771.63</v>
      </c>
      <c r="I67" s="218">
        <f t="shared" si="20"/>
        <v>846.24</v>
      </c>
      <c r="J67" s="219">
        <f t="shared" si="2"/>
        <v>621140.16</v>
      </c>
      <c r="K67" s="220">
        <f t="shared" si="11"/>
        <v>566376.42000000004</v>
      </c>
      <c r="L67" s="221">
        <f t="shared" si="19"/>
        <v>54763.739999999991</v>
      </c>
      <c r="M67" s="210">
        <f t="shared" si="7"/>
        <v>1844.2085765803242</v>
      </c>
      <c r="N67" s="211">
        <f t="shared" si="8"/>
        <v>56607.948576580318</v>
      </c>
      <c r="O67" s="210">
        <v>0</v>
      </c>
      <c r="P67" s="210">
        <v>0</v>
      </c>
      <c r="Q67" s="210">
        <v>0</v>
      </c>
      <c r="R67" s="211">
        <f t="shared" si="9"/>
        <v>56607.948576580318</v>
      </c>
    </row>
    <row r="68" spans="1:18" x14ac:dyDescent="0.25">
      <c r="A68" s="125">
        <v>1</v>
      </c>
      <c r="B68" s="202">
        <f t="shared" si="4"/>
        <v>43831</v>
      </c>
      <c r="C68" s="223">
        <f t="shared" ref="C68:D79" si="21">+C56</f>
        <v>43866</v>
      </c>
      <c r="D68" s="223">
        <f t="shared" si="21"/>
        <v>43885</v>
      </c>
      <c r="E68" s="204" t="s">
        <v>83</v>
      </c>
      <c r="F68" s="125">
        <v>9</v>
      </c>
      <c r="G68" s="205">
        <v>41</v>
      </c>
      <c r="H68" s="206">
        <f t="shared" si="5"/>
        <v>771.63</v>
      </c>
      <c r="I68" s="206">
        <f t="shared" si="20"/>
        <v>846.24</v>
      </c>
      <c r="J68" s="207">
        <f t="shared" si="2"/>
        <v>34695.840000000004</v>
      </c>
      <c r="K68" s="208">
        <f t="shared" si="11"/>
        <v>31636.829999999998</v>
      </c>
      <c r="L68" s="209">
        <f t="shared" si="19"/>
        <v>3059.0100000000057</v>
      </c>
      <c r="M68" s="210">
        <f t="shared" si="7"/>
        <v>103.01437553105355</v>
      </c>
      <c r="N68" s="211">
        <f t="shared" si="8"/>
        <v>3162.0243755310594</v>
      </c>
      <c r="O68" s="210">
        <v>0</v>
      </c>
      <c r="P68" s="210">
        <v>0</v>
      </c>
      <c r="Q68" s="210">
        <v>0</v>
      </c>
      <c r="R68" s="211">
        <f t="shared" si="9"/>
        <v>3162.0243755310594</v>
      </c>
    </row>
    <row r="69" spans="1:18" x14ac:dyDescent="0.25">
      <c r="A69" s="163">
        <v>2</v>
      </c>
      <c r="B69" s="202">
        <f t="shared" si="4"/>
        <v>43862</v>
      </c>
      <c r="C69" s="226">
        <f t="shared" si="21"/>
        <v>43894</v>
      </c>
      <c r="D69" s="226">
        <f t="shared" si="21"/>
        <v>43914</v>
      </c>
      <c r="E69" s="212" t="s">
        <v>83</v>
      </c>
      <c r="F69" s="163">
        <v>9</v>
      </c>
      <c r="G69" s="205">
        <v>34</v>
      </c>
      <c r="H69" s="206">
        <f t="shared" si="5"/>
        <v>771.63</v>
      </c>
      <c r="I69" s="206">
        <f t="shared" si="20"/>
        <v>846.24</v>
      </c>
      <c r="J69" s="207">
        <f t="shared" si="2"/>
        <v>28772.16</v>
      </c>
      <c r="K69" s="208">
        <f t="shared" si="11"/>
        <v>26235.42</v>
      </c>
      <c r="L69" s="209">
        <f t="shared" si="19"/>
        <v>2536.7400000000016</v>
      </c>
      <c r="M69" s="210">
        <f t="shared" si="7"/>
        <v>85.426555318434652</v>
      </c>
      <c r="N69" s="211">
        <f t="shared" si="8"/>
        <v>2622.1665553184362</v>
      </c>
      <c r="O69" s="210">
        <v>0</v>
      </c>
      <c r="P69" s="210">
        <v>0</v>
      </c>
      <c r="Q69" s="210">
        <v>0</v>
      </c>
      <c r="R69" s="211">
        <f t="shared" si="9"/>
        <v>2622.1665553184362</v>
      </c>
    </row>
    <row r="70" spans="1:18" x14ac:dyDescent="0.25">
      <c r="A70" s="163">
        <v>3</v>
      </c>
      <c r="B70" s="202">
        <f t="shared" si="4"/>
        <v>43891</v>
      </c>
      <c r="C70" s="226">
        <f t="shared" si="21"/>
        <v>43924</v>
      </c>
      <c r="D70" s="226">
        <f t="shared" si="21"/>
        <v>43945</v>
      </c>
      <c r="E70" s="212" t="s">
        <v>83</v>
      </c>
      <c r="F70" s="163">
        <v>9</v>
      </c>
      <c r="G70" s="205">
        <v>25</v>
      </c>
      <c r="H70" s="206">
        <f t="shared" si="5"/>
        <v>771.63</v>
      </c>
      <c r="I70" s="206">
        <f t="shared" si="20"/>
        <v>846.24</v>
      </c>
      <c r="J70" s="207">
        <f t="shared" si="2"/>
        <v>21156</v>
      </c>
      <c r="K70" s="208">
        <f t="shared" si="11"/>
        <v>19290.75</v>
      </c>
      <c r="L70" s="209">
        <f>+J70-K70</f>
        <v>1865.25</v>
      </c>
      <c r="M70" s="210">
        <f t="shared" si="7"/>
        <v>62.813643616496059</v>
      </c>
      <c r="N70" s="211">
        <f t="shared" si="8"/>
        <v>1928.0636436164962</v>
      </c>
      <c r="O70" s="210">
        <v>0</v>
      </c>
      <c r="P70" s="210">
        <v>0</v>
      </c>
      <c r="Q70" s="210">
        <v>0</v>
      </c>
      <c r="R70" s="211">
        <f t="shared" si="9"/>
        <v>1928.0636436164962</v>
      </c>
    </row>
    <row r="71" spans="1:18" x14ac:dyDescent="0.25">
      <c r="A71" s="125">
        <v>4</v>
      </c>
      <c r="B71" s="202">
        <f t="shared" si="4"/>
        <v>43922</v>
      </c>
      <c r="C71" s="226">
        <f t="shared" si="21"/>
        <v>43956</v>
      </c>
      <c r="D71" s="226">
        <f t="shared" si="21"/>
        <v>43976</v>
      </c>
      <c r="E71" s="212" t="s">
        <v>83</v>
      </c>
      <c r="F71" s="163">
        <v>9</v>
      </c>
      <c r="G71" s="205">
        <v>31</v>
      </c>
      <c r="H71" s="206">
        <f t="shared" si="5"/>
        <v>771.63</v>
      </c>
      <c r="I71" s="206">
        <f t="shared" si="20"/>
        <v>846.24</v>
      </c>
      <c r="J71" s="207">
        <f t="shared" si="2"/>
        <v>26233.439999999999</v>
      </c>
      <c r="K71" s="208">
        <f t="shared" si="11"/>
        <v>23920.53</v>
      </c>
      <c r="L71" s="209">
        <f t="shared" ref="L71:L79" si="22">+J71-K71</f>
        <v>2312.91</v>
      </c>
      <c r="M71" s="210">
        <f t="shared" si="7"/>
        <v>77.888918084455113</v>
      </c>
      <c r="N71" s="211">
        <f t="shared" si="8"/>
        <v>2390.7989180844552</v>
      </c>
      <c r="O71" s="210">
        <v>0</v>
      </c>
      <c r="P71" s="210">
        <v>0</v>
      </c>
      <c r="Q71" s="210">
        <v>0</v>
      </c>
      <c r="R71" s="211">
        <f t="shared" si="9"/>
        <v>2390.7989180844552</v>
      </c>
    </row>
    <row r="72" spans="1:18" x14ac:dyDescent="0.25">
      <c r="A72" s="163">
        <v>5</v>
      </c>
      <c r="B72" s="202">
        <f t="shared" si="4"/>
        <v>43952</v>
      </c>
      <c r="C72" s="226">
        <f t="shared" si="21"/>
        <v>43985</v>
      </c>
      <c r="D72" s="226">
        <f t="shared" si="21"/>
        <v>44006</v>
      </c>
      <c r="E72" s="212" t="s">
        <v>83</v>
      </c>
      <c r="F72" s="163">
        <v>9</v>
      </c>
      <c r="G72" s="205">
        <v>28</v>
      </c>
      <c r="H72" s="206">
        <f t="shared" si="5"/>
        <v>771.63</v>
      </c>
      <c r="I72" s="206">
        <f t="shared" si="20"/>
        <v>846.24</v>
      </c>
      <c r="J72" s="207">
        <f t="shared" si="2"/>
        <v>23694.720000000001</v>
      </c>
      <c r="K72" s="208">
        <f t="shared" si="11"/>
        <v>21605.64</v>
      </c>
      <c r="L72" s="209">
        <f t="shared" si="22"/>
        <v>2089.0800000000017</v>
      </c>
      <c r="M72" s="210">
        <f t="shared" si="7"/>
        <v>70.35128085047559</v>
      </c>
      <c r="N72" s="211">
        <f t="shared" si="8"/>
        <v>2159.4312808504774</v>
      </c>
      <c r="O72" s="210">
        <v>0</v>
      </c>
      <c r="P72" s="210">
        <v>0</v>
      </c>
      <c r="Q72" s="210">
        <v>0</v>
      </c>
      <c r="R72" s="211">
        <f t="shared" si="9"/>
        <v>2159.4312808504774</v>
      </c>
    </row>
    <row r="73" spans="1:18" x14ac:dyDescent="0.25">
      <c r="A73" s="163">
        <v>6</v>
      </c>
      <c r="B73" s="202">
        <f t="shared" si="4"/>
        <v>43983</v>
      </c>
      <c r="C73" s="226">
        <f t="shared" si="21"/>
        <v>44015</v>
      </c>
      <c r="D73" s="226">
        <f t="shared" si="21"/>
        <v>44036</v>
      </c>
      <c r="E73" s="212" t="s">
        <v>83</v>
      </c>
      <c r="F73" s="163">
        <v>9</v>
      </c>
      <c r="G73" s="205">
        <v>46</v>
      </c>
      <c r="H73" s="206">
        <f t="shared" si="5"/>
        <v>771.63</v>
      </c>
      <c r="I73" s="206">
        <f t="shared" si="20"/>
        <v>846.24</v>
      </c>
      <c r="J73" s="207">
        <f t="shared" si="2"/>
        <v>38927.040000000001</v>
      </c>
      <c r="K73" s="208">
        <f t="shared" si="11"/>
        <v>35494.980000000003</v>
      </c>
      <c r="L73" s="213">
        <f t="shared" si="22"/>
        <v>3432.0599999999977</v>
      </c>
      <c r="M73" s="210">
        <f t="shared" si="7"/>
        <v>115.57710425435275</v>
      </c>
      <c r="N73" s="211">
        <f t="shared" si="8"/>
        <v>3547.6371042543506</v>
      </c>
      <c r="O73" s="210">
        <v>0</v>
      </c>
      <c r="P73" s="210">
        <v>0</v>
      </c>
      <c r="Q73" s="210">
        <v>0</v>
      </c>
      <c r="R73" s="211">
        <f t="shared" si="9"/>
        <v>3547.6371042543506</v>
      </c>
    </row>
    <row r="74" spans="1:18" x14ac:dyDescent="0.25">
      <c r="A74" s="125">
        <v>7</v>
      </c>
      <c r="B74" s="202">
        <f t="shared" si="4"/>
        <v>44013</v>
      </c>
      <c r="C74" s="226">
        <f t="shared" si="21"/>
        <v>44048</v>
      </c>
      <c r="D74" s="226">
        <f t="shared" si="21"/>
        <v>44067</v>
      </c>
      <c r="E74" s="212" t="s">
        <v>83</v>
      </c>
      <c r="F74" s="163">
        <v>9</v>
      </c>
      <c r="G74" s="205">
        <v>46</v>
      </c>
      <c r="H74" s="206">
        <f t="shared" si="5"/>
        <v>771.63</v>
      </c>
      <c r="I74" s="206">
        <f t="shared" si="20"/>
        <v>846.24</v>
      </c>
      <c r="J74" s="207">
        <f t="shared" si="2"/>
        <v>38927.040000000001</v>
      </c>
      <c r="K74" s="214">
        <f t="shared" si="11"/>
        <v>35494.980000000003</v>
      </c>
      <c r="L74" s="213">
        <f t="shared" si="22"/>
        <v>3432.0599999999977</v>
      </c>
      <c r="M74" s="210">
        <f t="shared" si="7"/>
        <v>115.57710425435275</v>
      </c>
      <c r="N74" s="211">
        <f t="shared" si="8"/>
        <v>3547.6371042543506</v>
      </c>
      <c r="O74" s="210">
        <v>0</v>
      </c>
      <c r="P74" s="210">
        <v>0</v>
      </c>
      <c r="Q74" s="210">
        <v>0</v>
      </c>
      <c r="R74" s="211">
        <f t="shared" si="9"/>
        <v>3547.6371042543506</v>
      </c>
    </row>
    <row r="75" spans="1:18" x14ac:dyDescent="0.25">
      <c r="A75" s="163">
        <v>8</v>
      </c>
      <c r="B75" s="202">
        <f t="shared" si="4"/>
        <v>44044</v>
      </c>
      <c r="C75" s="226">
        <f t="shared" si="21"/>
        <v>44077</v>
      </c>
      <c r="D75" s="226">
        <f t="shared" si="21"/>
        <v>44098</v>
      </c>
      <c r="E75" s="212" t="s">
        <v>83</v>
      </c>
      <c r="F75" s="163">
        <v>9</v>
      </c>
      <c r="G75" s="205">
        <v>43</v>
      </c>
      <c r="H75" s="206">
        <f t="shared" si="5"/>
        <v>771.63</v>
      </c>
      <c r="I75" s="206">
        <f t="shared" si="20"/>
        <v>846.24</v>
      </c>
      <c r="J75" s="207">
        <f t="shared" si="2"/>
        <v>36388.32</v>
      </c>
      <c r="K75" s="214">
        <f t="shared" si="11"/>
        <v>33180.089999999997</v>
      </c>
      <c r="L75" s="213">
        <f t="shared" si="22"/>
        <v>3208.2300000000032</v>
      </c>
      <c r="M75" s="210">
        <f t="shared" si="7"/>
        <v>108.03946702037322</v>
      </c>
      <c r="N75" s="211">
        <f t="shared" si="8"/>
        <v>3316.2694670203764</v>
      </c>
      <c r="O75" s="210">
        <v>0</v>
      </c>
      <c r="P75" s="210">
        <v>0</v>
      </c>
      <c r="Q75" s="210">
        <v>0</v>
      </c>
      <c r="R75" s="211">
        <f t="shared" si="9"/>
        <v>3316.2694670203764</v>
      </c>
    </row>
    <row r="76" spans="1:18" x14ac:dyDescent="0.25">
      <c r="A76" s="163">
        <v>9</v>
      </c>
      <c r="B76" s="202">
        <f t="shared" si="4"/>
        <v>44075</v>
      </c>
      <c r="C76" s="226">
        <f t="shared" si="21"/>
        <v>44109</v>
      </c>
      <c r="D76" s="226">
        <f t="shared" si="21"/>
        <v>44130</v>
      </c>
      <c r="E76" s="212" t="s">
        <v>83</v>
      </c>
      <c r="F76" s="163">
        <v>9</v>
      </c>
      <c r="G76" s="205">
        <v>41</v>
      </c>
      <c r="H76" s="206">
        <f t="shared" si="5"/>
        <v>771.63</v>
      </c>
      <c r="I76" s="206">
        <f t="shared" si="20"/>
        <v>846.24</v>
      </c>
      <c r="J76" s="207">
        <f t="shared" si="2"/>
        <v>34695.840000000004</v>
      </c>
      <c r="K76" s="214">
        <f t="shared" si="11"/>
        <v>31636.829999999998</v>
      </c>
      <c r="L76" s="213">
        <f t="shared" si="22"/>
        <v>3059.0100000000057</v>
      </c>
      <c r="M76" s="210">
        <f t="shared" si="7"/>
        <v>103.01437553105355</v>
      </c>
      <c r="N76" s="211">
        <f t="shared" si="8"/>
        <v>3162.0243755310594</v>
      </c>
      <c r="O76" s="210">
        <v>0</v>
      </c>
      <c r="P76" s="210">
        <v>0</v>
      </c>
      <c r="Q76" s="210">
        <v>0</v>
      </c>
      <c r="R76" s="211">
        <f t="shared" si="9"/>
        <v>3162.0243755310594</v>
      </c>
    </row>
    <row r="77" spans="1:18" x14ac:dyDescent="0.25">
      <c r="A77" s="125">
        <v>10</v>
      </c>
      <c r="B77" s="202">
        <f t="shared" si="4"/>
        <v>44105</v>
      </c>
      <c r="C77" s="226">
        <f t="shared" si="21"/>
        <v>44139</v>
      </c>
      <c r="D77" s="226">
        <f t="shared" si="21"/>
        <v>44159</v>
      </c>
      <c r="E77" s="212" t="s">
        <v>83</v>
      </c>
      <c r="F77" s="163">
        <v>9</v>
      </c>
      <c r="G77" s="205">
        <v>32</v>
      </c>
      <c r="H77" s="206">
        <f t="shared" si="5"/>
        <v>771.63</v>
      </c>
      <c r="I77" s="206">
        <f t="shared" si="20"/>
        <v>846.24</v>
      </c>
      <c r="J77" s="207">
        <f t="shared" si="2"/>
        <v>27079.68</v>
      </c>
      <c r="K77" s="214">
        <f t="shared" si="11"/>
        <v>24692.16</v>
      </c>
      <c r="L77" s="213">
        <f t="shared" si="22"/>
        <v>2387.5200000000004</v>
      </c>
      <c r="M77" s="210">
        <f t="shared" si="7"/>
        <v>80.401463829114959</v>
      </c>
      <c r="N77" s="211">
        <f t="shared" si="8"/>
        <v>2467.9214638291155</v>
      </c>
      <c r="O77" s="210">
        <v>0</v>
      </c>
      <c r="P77" s="210">
        <v>0</v>
      </c>
      <c r="Q77" s="210">
        <v>0</v>
      </c>
      <c r="R77" s="211">
        <f t="shared" si="9"/>
        <v>2467.9214638291155</v>
      </c>
    </row>
    <row r="78" spans="1:18" x14ac:dyDescent="0.25">
      <c r="A78" s="163">
        <v>11</v>
      </c>
      <c r="B78" s="202">
        <f t="shared" si="4"/>
        <v>44136</v>
      </c>
      <c r="C78" s="226">
        <f t="shared" si="21"/>
        <v>44168</v>
      </c>
      <c r="D78" s="226">
        <f t="shared" si="21"/>
        <v>44189</v>
      </c>
      <c r="E78" s="212" t="s">
        <v>83</v>
      </c>
      <c r="F78" s="163">
        <v>9</v>
      </c>
      <c r="G78" s="205">
        <v>30</v>
      </c>
      <c r="H78" s="206">
        <f t="shared" si="5"/>
        <v>771.63</v>
      </c>
      <c r="I78" s="206">
        <f t="shared" si="20"/>
        <v>846.24</v>
      </c>
      <c r="J78" s="207">
        <f t="shared" si="2"/>
        <v>25387.200000000001</v>
      </c>
      <c r="K78" s="214">
        <f>+$G78*H78</f>
        <v>23148.9</v>
      </c>
      <c r="L78" s="213">
        <f t="shared" si="22"/>
        <v>2238.2999999999993</v>
      </c>
      <c r="M78" s="210">
        <f t="shared" si="7"/>
        <v>75.376372339795282</v>
      </c>
      <c r="N78" s="211">
        <f t="shared" si="8"/>
        <v>2313.6763723397944</v>
      </c>
      <c r="O78" s="210">
        <v>0</v>
      </c>
      <c r="P78" s="210">
        <v>0</v>
      </c>
      <c r="Q78" s="210">
        <v>0</v>
      </c>
      <c r="R78" s="211">
        <f t="shared" si="9"/>
        <v>2313.6763723397944</v>
      </c>
    </row>
    <row r="79" spans="1:18" s="230" customFormat="1" x14ac:dyDescent="0.25">
      <c r="A79" s="163">
        <v>12</v>
      </c>
      <c r="B79" s="228">
        <f t="shared" si="4"/>
        <v>44166</v>
      </c>
      <c r="C79" s="231">
        <f t="shared" si="21"/>
        <v>44202</v>
      </c>
      <c r="D79" s="231">
        <f t="shared" si="21"/>
        <v>44221</v>
      </c>
      <c r="E79" s="232" t="s">
        <v>83</v>
      </c>
      <c r="F79" s="174">
        <v>9</v>
      </c>
      <c r="G79" s="217">
        <v>39</v>
      </c>
      <c r="H79" s="218">
        <f t="shared" si="5"/>
        <v>771.63</v>
      </c>
      <c r="I79" s="218">
        <f t="shared" si="20"/>
        <v>846.24</v>
      </c>
      <c r="J79" s="219">
        <f t="shared" si="2"/>
        <v>33003.360000000001</v>
      </c>
      <c r="K79" s="220">
        <f>+$G79*H79</f>
        <v>30093.57</v>
      </c>
      <c r="L79" s="221">
        <f t="shared" si="22"/>
        <v>2909.7900000000009</v>
      </c>
      <c r="M79" s="210">
        <f t="shared" si="7"/>
        <v>97.989284041733853</v>
      </c>
      <c r="N79" s="211">
        <f t="shared" si="8"/>
        <v>3007.7792840417346</v>
      </c>
      <c r="O79" s="210">
        <v>0</v>
      </c>
      <c r="P79" s="210">
        <v>0</v>
      </c>
      <c r="Q79" s="210">
        <v>0</v>
      </c>
      <c r="R79" s="211">
        <f t="shared" si="9"/>
        <v>3007.7792840417346</v>
      </c>
    </row>
    <row r="80" spans="1:18" s="52" customFormat="1" ht="12.75" customHeight="1" x14ac:dyDescent="0.25">
      <c r="A80" s="125">
        <v>1</v>
      </c>
      <c r="B80" s="202">
        <f t="shared" si="4"/>
        <v>43831</v>
      </c>
      <c r="C80" s="223">
        <f t="shared" ref="C80:D91" si="23">+C56</f>
        <v>43866</v>
      </c>
      <c r="D80" s="223">
        <f t="shared" si="23"/>
        <v>43885</v>
      </c>
      <c r="E80" s="204" t="s">
        <v>9</v>
      </c>
      <c r="F80" s="125">
        <v>9</v>
      </c>
      <c r="G80" s="205">
        <v>40</v>
      </c>
      <c r="H80" s="206">
        <f t="shared" si="5"/>
        <v>771.63</v>
      </c>
      <c r="I80" s="206">
        <f t="shared" si="20"/>
        <v>846.24</v>
      </c>
      <c r="J80" s="207">
        <f t="shared" si="2"/>
        <v>33849.599999999999</v>
      </c>
      <c r="K80" s="208">
        <f t="shared" si="11"/>
        <v>30865.200000000001</v>
      </c>
      <c r="L80" s="209">
        <f t="shared" si="19"/>
        <v>2984.3999999999978</v>
      </c>
      <c r="M80" s="210">
        <f t="shared" si="7"/>
        <v>100.5018297863937</v>
      </c>
      <c r="N80" s="211">
        <f t="shared" si="8"/>
        <v>3084.9018297863913</v>
      </c>
      <c r="O80" s="210">
        <v>0</v>
      </c>
      <c r="P80" s="210">
        <v>0</v>
      </c>
      <c r="Q80" s="210">
        <v>0</v>
      </c>
      <c r="R80" s="211">
        <f t="shared" si="9"/>
        <v>3084.9018297863913</v>
      </c>
    </row>
    <row r="81" spans="1:18" x14ac:dyDescent="0.25">
      <c r="A81" s="163">
        <v>2</v>
      </c>
      <c r="B81" s="202">
        <f t="shared" si="4"/>
        <v>43862</v>
      </c>
      <c r="C81" s="226">
        <f t="shared" si="23"/>
        <v>43894</v>
      </c>
      <c r="D81" s="226">
        <f t="shared" si="23"/>
        <v>43914</v>
      </c>
      <c r="E81" s="212" t="s">
        <v>9</v>
      </c>
      <c r="F81" s="163">
        <v>9</v>
      </c>
      <c r="G81" s="205">
        <v>42</v>
      </c>
      <c r="H81" s="206">
        <f t="shared" si="5"/>
        <v>771.63</v>
      </c>
      <c r="I81" s="206">
        <f t="shared" si="20"/>
        <v>846.24</v>
      </c>
      <c r="J81" s="207">
        <f t="shared" si="2"/>
        <v>35542.080000000002</v>
      </c>
      <c r="K81" s="208">
        <f t="shared" si="11"/>
        <v>32408.46</v>
      </c>
      <c r="L81" s="209">
        <f t="shared" si="19"/>
        <v>3133.6200000000026</v>
      </c>
      <c r="M81" s="210">
        <f t="shared" si="7"/>
        <v>105.52692127571338</v>
      </c>
      <c r="N81" s="211">
        <f t="shared" si="8"/>
        <v>3239.1469212757161</v>
      </c>
      <c r="O81" s="210">
        <v>0</v>
      </c>
      <c r="P81" s="210">
        <v>0</v>
      </c>
      <c r="Q81" s="210">
        <v>0</v>
      </c>
      <c r="R81" s="211">
        <f t="shared" si="9"/>
        <v>3239.1469212757161</v>
      </c>
    </row>
    <row r="82" spans="1:18" x14ac:dyDescent="0.25">
      <c r="A82" s="163">
        <v>3</v>
      </c>
      <c r="B82" s="202">
        <f t="shared" si="4"/>
        <v>43891</v>
      </c>
      <c r="C82" s="226">
        <f t="shared" si="23"/>
        <v>43924</v>
      </c>
      <c r="D82" s="226">
        <f t="shared" si="23"/>
        <v>43945</v>
      </c>
      <c r="E82" s="212" t="s">
        <v>9</v>
      </c>
      <c r="F82" s="163">
        <v>9</v>
      </c>
      <c r="G82" s="205">
        <v>29</v>
      </c>
      <c r="H82" s="206">
        <f t="shared" si="5"/>
        <v>771.63</v>
      </c>
      <c r="I82" s="206">
        <f t="shared" si="20"/>
        <v>846.24</v>
      </c>
      <c r="J82" s="207">
        <f t="shared" si="2"/>
        <v>24540.959999999999</v>
      </c>
      <c r="K82" s="208">
        <f t="shared" si="11"/>
        <v>22377.27</v>
      </c>
      <c r="L82" s="209">
        <f>+J82-K82</f>
        <v>2163.6899999999987</v>
      </c>
      <c r="M82" s="210">
        <f t="shared" si="7"/>
        <v>72.863826595135436</v>
      </c>
      <c r="N82" s="211">
        <f t="shared" si="8"/>
        <v>2236.5538265951341</v>
      </c>
      <c r="O82" s="210">
        <v>0</v>
      </c>
      <c r="P82" s="210">
        <v>0</v>
      </c>
      <c r="Q82" s="210">
        <v>0</v>
      </c>
      <c r="R82" s="211">
        <f t="shared" si="9"/>
        <v>2236.5538265951341</v>
      </c>
    </row>
    <row r="83" spans="1:18" ht="12" customHeight="1" x14ac:dyDescent="0.25">
      <c r="A83" s="125">
        <v>4</v>
      </c>
      <c r="B83" s="202">
        <f t="shared" si="4"/>
        <v>43922</v>
      </c>
      <c r="C83" s="226">
        <f t="shared" si="23"/>
        <v>43956</v>
      </c>
      <c r="D83" s="226">
        <f t="shared" si="23"/>
        <v>43976</v>
      </c>
      <c r="E83" s="54" t="s">
        <v>9</v>
      </c>
      <c r="F83" s="163">
        <v>9</v>
      </c>
      <c r="G83" s="205">
        <v>32</v>
      </c>
      <c r="H83" s="206">
        <f t="shared" si="5"/>
        <v>771.63</v>
      </c>
      <c r="I83" s="206">
        <f t="shared" si="20"/>
        <v>846.24</v>
      </c>
      <c r="J83" s="207">
        <f t="shared" si="2"/>
        <v>27079.68</v>
      </c>
      <c r="K83" s="208">
        <f t="shared" si="11"/>
        <v>24692.16</v>
      </c>
      <c r="L83" s="209">
        <f t="shared" ref="L83:L93" si="24">+J83-K83</f>
        <v>2387.5200000000004</v>
      </c>
      <c r="M83" s="210">
        <f t="shared" si="7"/>
        <v>80.401463829114959</v>
      </c>
      <c r="N83" s="211">
        <f t="shared" si="8"/>
        <v>2467.9214638291155</v>
      </c>
      <c r="O83" s="210">
        <v>0</v>
      </c>
      <c r="P83" s="210">
        <v>0</v>
      </c>
      <c r="Q83" s="210">
        <v>0</v>
      </c>
      <c r="R83" s="211">
        <f t="shared" si="9"/>
        <v>2467.9214638291155</v>
      </c>
    </row>
    <row r="84" spans="1:18" ht="12" customHeight="1" x14ac:dyDescent="0.25">
      <c r="A84" s="163">
        <v>5</v>
      </c>
      <c r="B84" s="202">
        <f t="shared" si="4"/>
        <v>43952</v>
      </c>
      <c r="C84" s="226">
        <f t="shared" si="23"/>
        <v>43985</v>
      </c>
      <c r="D84" s="226">
        <f t="shared" si="23"/>
        <v>44006</v>
      </c>
      <c r="E84" s="54" t="s">
        <v>9</v>
      </c>
      <c r="F84" s="163">
        <v>9</v>
      </c>
      <c r="G84" s="205">
        <v>24</v>
      </c>
      <c r="H84" s="206">
        <f t="shared" si="5"/>
        <v>771.63</v>
      </c>
      <c r="I84" s="206">
        <f t="shared" si="20"/>
        <v>846.24</v>
      </c>
      <c r="J84" s="207">
        <f t="shared" si="2"/>
        <v>20309.760000000002</v>
      </c>
      <c r="K84" s="208">
        <f t="shared" si="11"/>
        <v>18519.12</v>
      </c>
      <c r="L84" s="209">
        <f t="shared" si="24"/>
        <v>1790.6400000000031</v>
      </c>
      <c r="M84" s="210">
        <f t="shared" si="7"/>
        <v>60.301097871836213</v>
      </c>
      <c r="N84" s="211">
        <f t="shared" si="8"/>
        <v>1850.9410978718392</v>
      </c>
      <c r="O84" s="210">
        <v>0</v>
      </c>
      <c r="P84" s="210">
        <v>0</v>
      </c>
      <c r="Q84" s="210">
        <v>0</v>
      </c>
      <c r="R84" s="211">
        <f t="shared" si="9"/>
        <v>1850.9410978718392</v>
      </c>
    </row>
    <row r="85" spans="1:18" x14ac:dyDescent="0.25">
      <c r="A85" s="163">
        <v>6</v>
      </c>
      <c r="B85" s="202">
        <f t="shared" si="4"/>
        <v>43983</v>
      </c>
      <c r="C85" s="226">
        <f t="shared" si="23"/>
        <v>44015</v>
      </c>
      <c r="D85" s="226">
        <f t="shared" si="23"/>
        <v>44036</v>
      </c>
      <c r="E85" s="54" t="s">
        <v>9</v>
      </c>
      <c r="F85" s="163">
        <v>9</v>
      </c>
      <c r="G85" s="205">
        <v>32</v>
      </c>
      <c r="H85" s="206">
        <f t="shared" ref="H85:H148" si="25">+$K$3</f>
        <v>771.63</v>
      </c>
      <c r="I85" s="206">
        <f t="shared" si="20"/>
        <v>846.24</v>
      </c>
      <c r="J85" s="207">
        <f t="shared" si="2"/>
        <v>27079.68</v>
      </c>
      <c r="K85" s="208">
        <f t="shared" si="11"/>
        <v>24692.16</v>
      </c>
      <c r="L85" s="213">
        <f t="shared" si="24"/>
        <v>2387.5200000000004</v>
      </c>
      <c r="M85" s="210">
        <f t="shared" ref="M85:M148" si="26">G85/$G$212*$M$14</f>
        <v>80.401463829114959</v>
      </c>
      <c r="N85" s="211">
        <f t="shared" ref="N85:N148" si="27">SUM(L85:M85)</f>
        <v>2467.9214638291155</v>
      </c>
      <c r="O85" s="210">
        <v>0</v>
      </c>
      <c r="P85" s="210">
        <v>0</v>
      </c>
      <c r="Q85" s="210">
        <v>0</v>
      </c>
      <c r="R85" s="211">
        <f t="shared" ref="R85:R148" si="28">+N85-Q85</f>
        <v>2467.9214638291155</v>
      </c>
    </row>
    <row r="86" spans="1:18" x14ac:dyDescent="0.25">
      <c r="A86" s="125">
        <v>7</v>
      </c>
      <c r="B86" s="202">
        <f t="shared" si="4"/>
        <v>44013</v>
      </c>
      <c r="C86" s="226">
        <f t="shared" si="23"/>
        <v>44048</v>
      </c>
      <c r="D86" s="226">
        <f t="shared" si="23"/>
        <v>44067</v>
      </c>
      <c r="E86" s="54" t="s">
        <v>9</v>
      </c>
      <c r="F86" s="163">
        <v>9</v>
      </c>
      <c r="G86" s="205">
        <v>42</v>
      </c>
      <c r="H86" s="206">
        <f t="shared" si="25"/>
        <v>771.63</v>
      </c>
      <c r="I86" s="206">
        <f t="shared" si="20"/>
        <v>846.24</v>
      </c>
      <c r="J86" s="207">
        <f t="shared" si="2"/>
        <v>35542.080000000002</v>
      </c>
      <c r="K86" s="214">
        <f t="shared" si="11"/>
        <v>32408.46</v>
      </c>
      <c r="L86" s="213">
        <f t="shared" si="24"/>
        <v>3133.6200000000026</v>
      </c>
      <c r="M86" s="210">
        <f t="shared" si="26"/>
        <v>105.52692127571338</v>
      </c>
      <c r="N86" s="211">
        <f t="shared" si="27"/>
        <v>3239.1469212757161</v>
      </c>
      <c r="O86" s="210">
        <v>0</v>
      </c>
      <c r="P86" s="210">
        <v>0</v>
      </c>
      <c r="Q86" s="210">
        <v>0</v>
      </c>
      <c r="R86" s="211">
        <f t="shared" si="28"/>
        <v>3239.1469212757161</v>
      </c>
    </row>
    <row r="87" spans="1:18" x14ac:dyDescent="0.25">
      <c r="A87" s="163">
        <v>8</v>
      </c>
      <c r="B87" s="202">
        <f t="shared" si="4"/>
        <v>44044</v>
      </c>
      <c r="C87" s="226">
        <f t="shared" si="23"/>
        <v>44077</v>
      </c>
      <c r="D87" s="226">
        <f t="shared" si="23"/>
        <v>44098</v>
      </c>
      <c r="E87" s="54" t="s">
        <v>9</v>
      </c>
      <c r="F87" s="163">
        <v>9</v>
      </c>
      <c r="G87" s="205">
        <v>39</v>
      </c>
      <c r="H87" s="206">
        <f t="shared" si="25"/>
        <v>771.63</v>
      </c>
      <c r="I87" s="206">
        <f t="shared" si="20"/>
        <v>846.24</v>
      </c>
      <c r="J87" s="207">
        <f t="shared" si="2"/>
        <v>33003.360000000001</v>
      </c>
      <c r="K87" s="214">
        <f t="shared" si="11"/>
        <v>30093.57</v>
      </c>
      <c r="L87" s="213">
        <f t="shared" si="24"/>
        <v>2909.7900000000009</v>
      </c>
      <c r="M87" s="210">
        <f t="shared" si="26"/>
        <v>97.989284041733853</v>
      </c>
      <c r="N87" s="211">
        <f t="shared" si="27"/>
        <v>3007.7792840417346</v>
      </c>
      <c r="O87" s="210">
        <v>0</v>
      </c>
      <c r="P87" s="210">
        <v>0</v>
      </c>
      <c r="Q87" s="210">
        <v>0</v>
      </c>
      <c r="R87" s="211">
        <f t="shared" si="28"/>
        <v>3007.7792840417346</v>
      </c>
    </row>
    <row r="88" spans="1:18" x14ac:dyDescent="0.25">
      <c r="A88" s="163">
        <v>9</v>
      </c>
      <c r="B88" s="202">
        <f t="shared" si="4"/>
        <v>44075</v>
      </c>
      <c r="C88" s="226">
        <f t="shared" si="23"/>
        <v>44109</v>
      </c>
      <c r="D88" s="226">
        <f t="shared" si="23"/>
        <v>44130</v>
      </c>
      <c r="E88" s="54" t="s">
        <v>9</v>
      </c>
      <c r="F88" s="163">
        <v>9</v>
      </c>
      <c r="G88" s="205">
        <v>36</v>
      </c>
      <c r="H88" s="206">
        <f t="shared" si="25"/>
        <v>771.63</v>
      </c>
      <c r="I88" s="206">
        <f t="shared" si="20"/>
        <v>846.24</v>
      </c>
      <c r="J88" s="207">
        <f t="shared" si="2"/>
        <v>30464.639999999999</v>
      </c>
      <c r="K88" s="214">
        <f t="shared" si="11"/>
        <v>27778.68</v>
      </c>
      <c r="L88" s="213">
        <f t="shared" si="24"/>
        <v>2685.9599999999991</v>
      </c>
      <c r="M88" s="210">
        <f t="shared" si="26"/>
        <v>90.451646807754329</v>
      </c>
      <c r="N88" s="211">
        <f t="shared" si="27"/>
        <v>2776.4116468077536</v>
      </c>
      <c r="O88" s="210">
        <v>0</v>
      </c>
      <c r="P88" s="210">
        <v>0</v>
      </c>
      <c r="Q88" s="210">
        <v>0</v>
      </c>
      <c r="R88" s="211">
        <f t="shared" si="28"/>
        <v>2776.4116468077536</v>
      </c>
    </row>
    <row r="89" spans="1:18" x14ac:dyDescent="0.25">
      <c r="A89" s="125">
        <v>10</v>
      </c>
      <c r="B89" s="202">
        <f t="shared" si="4"/>
        <v>44105</v>
      </c>
      <c r="C89" s="226">
        <f t="shared" si="23"/>
        <v>44139</v>
      </c>
      <c r="D89" s="226">
        <f t="shared" si="23"/>
        <v>44159</v>
      </c>
      <c r="E89" s="54" t="s">
        <v>9</v>
      </c>
      <c r="F89" s="163">
        <v>9</v>
      </c>
      <c r="G89" s="205">
        <v>34</v>
      </c>
      <c r="H89" s="206">
        <f t="shared" si="25"/>
        <v>771.63</v>
      </c>
      <c r="I89" s="206">
        <f t="shared" si="20"/>
        <v>846.24</v>
      </c>
      <c r="J89" s="207">
        <f t="shared" si="2"/>
        <v>28772.16</v>
      </c>
      <c r="K89" s="214">
        <f t="shared" si="11"/>
        <v>26235.42</v>
      </c>
      <c r="L89" s="213">
        <f t="shared" si="24"/>
        <v>2536.7400000000016</v>
      </c>
      <c r="M89" s="210">
        <f t="shared" si="26"/>
        <v>85.426555318434652</v>
      </c>
      <c r="N89" s="211">
        <f t="shared" si="27"/>
        <v>2622.1665553184362</v>
      </c>
      <c r="O89" s="210">
        <v>0</v>
      </c>
      <c r="P89" s="210">
        <v>0</v>
      </c>
      <c r="Q89" s="210">
        <v>0</v>
      </c>
      <c r="R89" s="211">
        <f t="shared" si="28"/>
        <v>2622.1665553184362</v>
      </c>
    </row>
    <row r="90" spans="1:18" x14ac:dyDescent="0.25">
      <c r="A90" s="163">
        <v>11</v>
      </c>
      <c r="B90" s="202">
        <f t="shared" si="4"/>
        <v>44136</v>
      </c>
      <c r="C90" s="226">
        <f t="shared" si="23"/>
        <v>44168</v>
      </c>
      <c r="D90" s="226">
        <f t="shared" si="23"/>
        <v>44189</v>
      </c>
      <c r="E90" s="54" t="s">
        <v>9</v>
      </c>
      <c r="F90" s="163">
        <v>9</v>
      </c>
      <c r="G90" s="205">
        <v>37</v>
      </c>
      <c r="H90" s="206">
        <f t="shared" si="25"/>
        <v>771.63</v>
      </c>
      <c r="I90" s="206">
        <f t="shared" si="20"/>
        <v>846.24</v>
      </c>
      <c r="J90" s="207">
        <f t="shared" si="2"/>
        <v>31310.880000000001</v>
      </c>
      <c r="K90" s="214">
        <f t="shared" si="11"/>
        <v>28550.31</v>
      </c>
      <c r="L90" s="213">
        <f t="shared" si="24"/>
        <v>2760.5699999999997</v>
      </c>
      <c r="M90" s="210">
        <f t="shared" si="26"/>
        <v>92.964192552414175</v>
      </c>
      <c r="N90" s="211">
        <f t="shared" si="27"/>
        <v>2853.534192552414</v>
      </c>
      <c r="O90" s="210">
        <v>0</v>
      </c>
      <c r="P90" s="210">
        <v>0</v>
      </c>
      <c r="Q90" s="210">
        <v>0</v>
      </c>
      <c r="R90" s="211">
        <f t="shared" si="28"/>
        <v>2853.534192552414</v>
      </c>
    </row>
    <row r="91" spans="1:18" s="230" customFormat="1" x14ac:dyDescent="0.25">
      <c r="A91" s="163">
        <v>12</v>
      </c>
      <c r="B91" s="228">
        <f t="shared" si="4"/>
        <v>44166</v>
      </c>
      <c r="C91" s="226">
        <f t="shared" si="23"/>
        <v>44202</v>
      </c>
      <c r="D91" s="226">
        <f t="shared" si="23"/>
        <v>44221</v>
      </c>
      <c r="E91" s="229" t="s">
        <v>9</v>
      </c>
      <c r="F91" s="174">
        <v>9</v>
      </c>
      <c r="G91" s="217">
        <v>41</v>
      </c>
      <c r="H91" s="218">
        <f t="shared" si="25"/>
        <v>771.63</v>
      </c>
      <c r="I91" s="218">
        <f t="shared" si="20"/>
        <v>846.24</v>
      </c>
      <c r="J91" s="219">
        <f t="shared" si="2"/>
        <v>34695.840000000004</v>
      </c>
      <c r="K91" s="220">
        <f t="shared" si="11"/>
        <v>31636.829999999998</v>
      </c>
      <c r="L91" s="221">
        <f t="shared" si="24"/>
        <v>3059.0100000000057</v>
      </c>
      <c r="M91" s="210">
        <f t="shared" si="26"/>
        <v>103.01437553105355</v>
      </c>
      <c r="N91" s="211">
        <f t="shared" si="27"/>
        <v>3162.0243755310594</v>
      </c>
      <c r="O91" s="210">
        <v>0</v>
      </c>
      <c r="P91" s="210">
        <v>0</v>
      </c>
      <c r="Q91" s="210">
        <v>0</v>
      </c>
      <c r="R91" s="211">
        <f t="shared" si="28"/>
        <v>3162.0243755310594</v>
      </c>
    </row>
    <row r="92" spans="1:18" x14ac:dyDescent="0.25">
      <c r="A92" s="125">
        <v>1</v>
      </c>
      <c r="B92" s="202">
        <f t="shared" si="4"/>
        <v>43831</v>
      </c>
      <c r="C92" s="223">
        <f t="shared" ref="C92:D95" si="29">+C80</f>
        <v>43866</v>
      </c>
      <c r="D92" s="223">
        <f t="shared" si="29"/>
        <v>43885</v>
      </c>
      <c r="E92" s="204" t="s">
        <v>8</v>
      </c>
      <c r="F92" s="125">
        <v>9</v>
      </c>
      <c r="G92" s="205">
        <v>76</v>
      </c>
      <c r="H92" s="206">
        <f t="shared" si="25"/>
        <v>771.63</v>
      </c>
      <c r="I92" s="206">
        <f t="shared" si="20"/>
        <v>846.24</v>
      </c>
      <c r="J92" s="207">
        <f t="shared" si="2"/>
        <v>64314.239999999998</v>
      </c>
      <c r="K92" s="208">
        <f t="shared" si="11"/>
        <v>58643.88</v>
      </c>
      <c r="L92" s="209">
        <f t="shared" si="24"/>
        <v>5670.3600000000006</v>
      </c>
      <c r="M92" s="210">
        <f t="shared" si="26"/>
        <v>190.95347659414804</v>
      </c>
      <c r="N92" s="211">
        <f t="shared" si="27"/>
        <v>5861.3134765941486</v>
      </c>
      <c r="O92" s="210">
        <v>0</v>
      </c>
      <c r="P92" s="210">
        <v>0</v>
      </c>
      <c r="Q92" s="210">
        <v>0</v>
      </c>
      <c r="R92" s="211">
        <f t="shared" si="28"/>
        <v>5861.3134765941486</v>
      </c>
    </row>
    <row r="93" spans="1:18" x14ac:dyDescent="0.25">
      <c r="A93" s="163">
        <v>2</v>
      </c>
      <c r="B93" s="202">
        <f t="shared" si="4"/>
        <v>43862</v>
      </c>
      <c r="C93" s="226">
        <f t="shared" si="29"/>
        <v>43894</v>
      </c>
      <c r="D93" s="226">
        <f t="shared" si="29"/>
        <v>43914</v>
      </c>
      <c r="E93" s="212" t="s">
        <v>8</v>
      </c>
      <c r="F93" s="163">
        <v>9</v>
      </c>
      <c r="G93" s="205">
        <v>77</v>
      </c>
      <c r="H93" s="206">
        <f t="shared" si="25"/>
        <v>771.63</v>
      </c>
      <c r="I93" s="206">
        <f t="shared" si="20"/>
        <v>846.24</v>
      </c>
      <c r="J93" s="207">
        <f t="shared" si="2"/>
        <v>65160.480000000003</v>
      </c>
      <c r="K93" s="208">
        <f t="shared" si="11"/>
        <v>59415.51</v>
      </c>
      <c r="L93" s="209">
        <f t="shared" si="24"/>
        <v>5744.9700000000012</v>
      </c>
      <c r="M93" s="210">
        <f t="shared" si="26"/>
        <v>193.46602233880785</v>
      </c>
      <c r="N93" s="211">
        <f t="shared" si="27"/>
        <v>5938.4360223388094</v>
      </c>
      <c r="O93" s="210">
        <v>0</v>
      </c>
      <c r="P93" s="210">
        <v>0</v>
      </c>
      <c r="Q93" s="210">
        <v>0</v>
      </c>
      <c r="R93" s="211">
        <f t="shared" si="28"/>
        <v>5938.4360223388094</v>
      </c>
    </row>
    <row r="94" spans="1:18" x14ac:dyDescent="0.25">
      <c r="A94" s="163">
        <v>3</v>
      </c>
      <c r="B94" s="202">
        <f t="shared" si="4"/>
        <v>43891</v>
      </c>
      <c r="C94" s="226">
        <f t="shared" si="29"/>
        <v>43924</v>
      </c>
      <c r="D94" s="226">
        <f t="shared" si="29"/>
        <v>43945</v>
      </c>
      <c r="E94" s="212" t="s">
        <v>8</v>
      </c>
      <c r="F94" s="163">
        <v>9</v>
      </c>
      <c r="G94" s="205">
        <v>85</v>
      </c>
      <c r="H94" s="206">
        <f t="shared" si="25"/>
        <v>771.63</v>
      </c>
      <c r="I94" s="206">
        <f t="shared" si="20"/>
        <v>846.24</v>
      </c>
      <c r="J94" s="207">
        <f t="shared" si="2"/>
        <v>71930.399999999994</v>
      </c>
      <c r="K94" s="208">
        <f t="shared" ref="K94:K133" si="30">+$G94*H94</f>
        <v>65588.55</v>
      </c>
      <c r="L94" s="209">
        <f>+J94-K94</f>
        <v>6341.8499999999913</v>
      </c>
      <c r="M94" s="210">
        <f t="shared" si="26"/>
        <v>213.56638829608659</v>
      </c>
      <c r="N94" s="211">
        <f t="shared" si="27"/>
        <v>6555.4163882960775</v>
      </c>
      <c r="O94" s="210">
        <v>0</v>
      </c>
      <c r="P94" s="210">
        <v>0</v>
      </c>
      <c r="Q94" s="210">
        <v>0</v>
      </c>
      <c r="R94" s="211">
        <f t="shared" si="28"/>
        <v>6555.4163882960775</v>
      </c>
    </row>
    <row r="95" spans="1:18" x14ac:dyDescent="0.25">
      <c r="A95" s="125">
        <v>4</v>
      </c>
      <c r="B95" s="202">
        <f t="shared" si="4"/>
        <v>43922</v>
      </c>
      <c r="C95" s="226">
        <f t="shared" si="29"/>
        <v>43956</v>
      </c>
      <c r="D95" s="226">
        <f t="shared" si="29"/>
        <v>43976</v>
      </c>
      <c r="E95" s="212" t="s">
        <v>8</v>
      </c>
      <c r="F95" s="163">
        <v>9</v>
      </c>
      <c r="G95" s="205">
        <v>82</v>
      </c>
      <c r="H95" s="206">
        <f t="shared" si="25"/>
        <v>771.63</v>
      </c>
      <c r="I95" s="206">
        <f t="shared" si="20"/>
        <v>846.24</v>
      </c>
      <c r="J95" s="207">
        <f t="shared" si="2"/>
        <v>69391.680000000008</v>
      </c>
      <c r="K95" s="208">
        <f t="shared" si="30"/>
        <v>63273.659999999996</v>
      </c>
      <c r="L95" s="209">
        <f t="shared" ref="L95:L105" si="31">+J95-K95</f>
        <v>6118.0200000000114</v>
      </c>
      <c r="M95" s="210">
        <f t="shared" si="26"/>
        <v>206.02875106210709</v>
      </c>
      <c r="N95" s="211">
        <f t="shared" si="27"/>
        <v>6324.0487510621188</v>
      </c>
      <c r="O95" s="210">
        <v>0</v>
      </c>
      <c r="P95" s="210">
        <v>0</v>
      </c>
      <c r="Q95" s="210">
        <v>0</v>
      </c>
      <c r="R95" s="211">
        <f t="shared" si="28"/>
        <v>6324.0487510621188</v>
      </c>
    </row>
    <row r="96" spans="1:18" x14ac:dyDescent="0.25">
      <c r="A96" s="163">
        <v>5</v>
      </c>
      <c r="B96" s="202">
        <f t="shared" si="4"/>
        <v>43952</v>
      </c>
      <c r="C96" s="226">
        <f t="shared" ref="C96:D116" si="32">+C84</f>
        <v>43985</v>
      </c>
      <c r="D96" s="226">
        <f t="shared" si="32"/>
        <v>44006</v>
      </c>
      <c r="E96" s="54" t="s">
        <v>8</v>
      </c>
      <c r="F96" s="163">
        <v>9</v>
      </c>
      <c r="G96" s="205">
        <v>117</v>
      </c>
      <c r="H96" s="206">
        <f t="shared" si="25"/>
        <v>771.63</v>
      </c>
      <c r="I96" s="206">
        <f t="shared" si="20"/>
        <v>846.24</v>
      </c>
      <c r="J96" s="207">
        <f t="shared" si="2"/>
        <v>99010.08</v>
      </c>
      <c r="K96" s="208">
        <f t="shared" si="30"/>
        <v>90280.71</v>
      </c>
      <c r="L96" s="209">
        <f t="shared" si="31"/>
        <v>8729.3699999999953</v>
      </c>
      <c r="M96" s="210">
        <f t="shared" si="26"/>
        <v>293.96785212520155</v>
      </c>
      <c r="N96" s="211">
        <f t="shared" si="27"/>
        <v>9023.3378521251962</v>
      </c>
      <c r="O96" s="210">
        <v>0</v>
      </c>
      <c r="P96" s="210">
        <v>0</v>
      </c>
      <c r="Q96" s="210">
        <v>0</v>
      </c>
      <c r="R96" s="211">
        <f t="shared" si="28"/>
        <v>9023.3378521251962</v>
      </c>
    </row>
    <row r="97" spans="1:18" x14ac:dyDescent="0.25">
      <c r="A97" s="163">
        <v>6</v>
      </c>
      <c r="B97" s="202">
        <f t="shared" si="4"/>
        <v>43983</v>
      </c>
      <c r="C97" s="226">
        <f t="shared" si="32"/>
        <v>44015</v>
      </c>
      <c r="D97" s="226">
        <f t="shared" si="32"/>
        <v>44036</v>
      </c>
      <c r="E97" s="54" t="s">
        <v>8</v>
      </c>
      <c r="F97" s="163">
        <v>9</v>
      </c>
      <c r="G97" s="205">
        <v>131</v>
      </c>
      <c r="H97" s="206">
        <f t="shared" si="25"/>
        <v>771.63</v>
      </c>
      <c r="I97" s="206">
        <f t="shared" si="20"/>
        <v>846.24</v>
      </c>
      <c r="J97" s="207">
        <f t="shared" si="2"/>
        <v>110857.44</v>
      </c>
      <c r="K97" s="208">
        <f t="shared" si="30"/>
        <v>101083.53</v>
      </c>
      <c r="L97" s="213">
        <f t="shared" si="31"/>
        <v>9773.9100000000035</v>
      </c>
      <c r="M97" s="210">
        <f t="shared" si="26"/>
        <v>329.14349255043936</v>
      </c>
      <c r="N97" s="211">
        <f t="shared" si="27"/>
        <v>10103.053492550443</v>
      </c>
      <c r="O97" s="210">
        <v>0</v>
      </c>
      <c r="P97" s="210">
        <v>0</v>
      </c>
      <c r="Q97" s="210">
        <v>0</v>
      </c>
      <c r="R97" s="211">
        <f t="shared" si="28"/>
        <v>10103.053492550443</v>
      </c>
    </row>
    <row r="98" spans="1:18" x14ac:dyDescent="0.25">
      <c r="A98" s="125">
        <v>7</v>
      </c>
      <c r="B98" s="202">
        <f t="shared" si="4"/>
        <v>44013</v>
      </c>
      <c r="C98" s="226">
        <f t="shared" si="32"/>
        <v>44048</v>
      </c>
      <c r="D98" s="226">
        <f t="shared" si="32"/>
        <v>44067</v>
      </c>
      <c r="E98" s="54" t="s">
        <v>8</v>
      </c>
      <c r="F98" s="163">
        <v>9</v>
      </c>
      <c r="G98" s="205">
        <v>147</v>
      </c>
      <c r="H98" s="206">
        <f t="shared" si="25"/>
        <v>771.63</v>
      </c>
      <c r="I98" s="206">
        <f t="shared" si="20"/>
        <v>846.24</v>
      </c>
      <c r="J98" s="207">
        <f t="shared" si="2"/>
        <v>124397.28</v>
      </c>
      <c r="K98" s="214">
        <f t="shared" si="30"/>
        <v>113429.61</v>
      </c>
      <c r="L98" s="213">
        <f t="shared" si="31"/>
        <v>10967.669999999998</v>
      </c>
      <c r="M98" s="210">
        <f t="shared" si="26"/>
        <v>369.34422446499684</v>
      </c>
      <c r="N98" s="211">
        <f t="shared" si="27"/>
        <v>11337.014224464994</v>
      </c>
      <c r="O98" s="210">
        <v>0</v>
      </c>
      <c r="P98" s="210">
        <v>0</v>
      </c>
      <c r="Q98" s="210">
        <v>0</v>
      </c>
      <c r="R98" s="211">
        <f t="shared" si="28"/>
        <v>11337.014224464994</v>
      </c>
    </row>
    <row r="99" spans="1:18" x14ac:dyDescent="0.25">
      <c r="A99" s="163">
        <v>8</v>
      </c>
      <c r="B99" s="202">
        <f t="shared" si="4"/>
        <v>44044</v>
      </c>
      <c r="C99" s="226">
        <f t="shared" si="32"/>
        <v>44077</v>
      </c>
      <c r="D99" s="226">
        <f t="shared" si="32"/>
        <v>44098</v>
      </c>
      <c r="E99" s="54" t="s">
        <v>8</v>
      </c>
      <c r="F99" s="163">
        <v>9</v>
      </c>
      <c r="G99" s="205">
        <v>141</v>
      </c>
      <c r="H99" s="206">
        <f t="shared" si="25"/>
        <v>771.63</v>
      </c>
      <c r="I99" s="206">
        <f t="shared" si="20"/>
        <v>846.24</v>
      </c>
      <c r="J99" s="207">
        <f t="shared" si="2"/>
        <v>119319.84</v>
      </c>
      <c r="K99" s="214">
        <f t="shared" si="30"/>
        <v>108799.83</v>
      </c>
      <c r="L99" s="213">
        <f t="shared" si="31"/>
        <v>10520.009999999995</v>
      </c>
      <c r="M99" s="210">
        <f t="shared" si="26"/>
        <v>354.26894999703779</v>
      </c>
      <c r="N99" s="211">
        <f t="shared" si="27"/>
        <v>10874.278949997033</v>
      </c>
      <c r="O99" s="210">
        <v>0</v>
      </c>
      <c r="P99" s="210">
        <v>0</v>
      </c>
      <c r="Q99" s="210">
        <v>0</v>
      </c>
      <c r="R99" s="211">
        <f t="shared" si="28"/>
        <v>10874.278949997033</v>
      </c>
    </row>
    <row r="100" spans="1:18" x14ac:dyDescent="0.25">
      <c r="A100" s="163">
        <v>9</v>
      </c>
      <c r="B100" s="202">
        <f t="shared" si="4"/>
        <v>44075</v>
      </c>
      <c r="C100" s="226">
        <f t="shared" si="32"/>
        <v>44109</v>
      </c>
      <c r="D100" s="226">
        <f t="shared" si="32"/>
        <v>44130</v>
      </c>
      <c r="E100" s="54" t="s">
        <v>8</v>
      </c>
      <c r="F100" s="163">
        <v>9</v>
      </c>
      <c r="G100" s="205">
        <v>111</v>
      </c>
      <c r="H100" s="206">
        <f t="shared" si="25"/>
        <v>771.63</v>
      </c>
      <c r="I100" s="206">
        <f t="shared" si="20"/>
        <v>846.24</v>
      </c>
      <c r="J100" s="207">
        <f t="shared" si="2"/>
        <v>93932.64</v>
      </c>
      <c r="K100" s="214">
        <f t="shared" si="30"/>
        <v>85650.93</v>
      </c>
      <c r="L100" s="213">
        <f t="shared" si="31"/>
        <v>8281.7100000000064</v>
      </c>
      <c r="M100" s="210">
        <f t="shared" si="26"/>
        <v>278.8925776572425</v>
      </c>
      <c r="N100" s="211">
        <f t="shared" si="27"/>
        <v>8560.6025776572496</v>
      </c>
      <c r="O100" s="210">
        <v>0</v>
      </c>
      <c r="P100" s="210">
        <v>0</v>
      </c>
      <c r="Q100" s="210">
        <v>0</v>
      </c>
      <c r="R100" s="211">
        <f t="shared" si="28"/>
        <v>8560.6025776572496</v>
      </c>
    </row>
    <row r="101" spans="1:18" x14ac:dyDescent="0.25">
      <c r="A101" s="125">
        <v>10</v>
      </c>
      <c r="B101" s="202">
        <f t="shared" si="4"/>
        <v>44105</v>
      </c>
      <c r="C101" s="226">
        <f t="shared" si="32"/>
        <v>44139</v>
      </c>
      <c r="D101" s="226">
        <f t="shared" si="32"/>
        <v>44159</v>
      </c>
      <c r="E101" s="54" t="s">
        <v>8</v>
      </c>
      <c r="F101" s="163">
        <v>9</v>
      </c>
      <c r="G101" s="205">
        <v>98</v>
      </c>
      <c r="H101" s="206">
        <f t="shared" si="25"/>
        <v>771.63</v>
      </c>
      <c r="I101" s="206">
        <f t="shared" si="20"/>
        <v>846.24</v>
      </c>
      <c r="J101" s="207">
        <f t="shared" si="2"/>
        <v>82931.520000000004</v>
      </c>
      <c r="K101" s="214">
        <f t="shared" si="30"/>
        <v>75619.740000000005</v>
      </c>
      <c r="L101" s="213">
        <f t="shared" si="31"/>
        <v>7311.7799999999988</v>
      </c>
      <c r="M101" s="210">
        <f t="shared" si="26"/>
        <v>246.22948297666454</v>
      </c>
      <c r="N101" s="211">
        <f t="shared" si="27"/>
        <v>7558.0094829766631</v>
      </c>
      <c r="O101" s="210">
        <v>0</v>
      </c>
      <c r="P101" s="210">
        <v>0</v>
      </c>
      <c r="Q101" s="210">
        <v>0</v>
      </c>
      <c r="R101" s="211">
        <f t="shared" si="28"/>
        <v>7558.0094829766631</v>
      </c>
    </row>
    <row r="102" spans="1:18" x14ac:dyDescent="0.25">
      <c r="A102" s="163">
        <v>11</v>
      </c>
      <c r="B102" s="202">
        <f t="shared" si="4"/>
        <v>44136</v>
      </c>
      <c r="C102" s="226">
        <f t="shared" si="32"/>
        <v>44168</v>
      </c>
      <c r="D102" s="226">
        <f t="shared" si="32"/>
        <v>44189</v>
      </c>
      <c r="E102" s="54" t="s">
        <v>8</v>
      </c>
      <c r="F102" s="163">
        <v>9</v>
      </c>
      <c r="G102" s="205">
        <v>74</v>
      </c>
      <c r="H102" s="206">
        <f t="shared" si="25"/>
        <v>771.63</v>
      </c>
      <c r="I102" s="206">
        <f t="shared" si="20"/>
        <v>846.24</v>
      </c>
      <c r="J102" s="207">
        <f t="shared" si="2"/>
        <v>62621.760000000002</v>
      </c>
      <c r="K102" s="214">
        <f t="shared" si="30"/>
        <v>57100.62</v>
      </c>
      <c r="L102" s="213">
        <f t="shared" si="31"/>
        <v>5521.1399999999994</v>
      </c>
      <c r="M102" s="210">
        <f t="shared" si="26"/>
        <v>185.92838510482835</v>
      </c>
      <c r="N102" s="211">
        <f t="shared" si="27"/>
        <v>5707.0683851048279</v>
      </c>
      <c r="O102" s="210">
        <v>0</v>
      </c>
      <c r="P102" s="210">
        <v>0</v>
      </c>
      <c r="Q102" s="210">
        <v>0</v>
      </c>
      <c r="R102" s="211">
        <f t="shared" si="28"/>
        <v>5707.0683851048279</v>
      </c>
    </row>
    <row r="103" spans="1:18" s="230" customFormat="1" x14ac:dyDescent="0.25">
      <c r="A103" s="163">
        <v>12</v>
      </c>
      <c r="B103" s="228">
        <f t="shared" si="4"/>
        <v>44166</v>
      </c>
      <c r="C103" s="226">
        <f t="shared" si="32"/>
        <v>44202</v>
      </c>
      <c r="D103" s="226">
        <f t="shared" si="32"/>
        <v>44221</v>
      </c>
      <c r="E103" s="229" t="s">
        <v>8</v>
      </c>
      <c r="F103" s="174">
        <v>9</v>
      </c>
      <c r="G103" s="217">
        <v>78</v>
      </c>
      <c r="H103" s="218">
        <f t="shared" si="25"/>
        <v>771.63</v>
      </c>
      <c r="I103" s="218">
        <f t="shared" si="20"/>
        <v>846.24</v>
      </c>
      <c r="J103" s="219">
        <f t="shared" si="2"/>
        <v>66006.720000000001</v>
      </c>
      <c r="K103" s="220">
        <f t="shared" si="30"/>
        <v>60187.14</v>
      </c>
      <c r="L103" s="221">
        <f t="shared" si="31"/>
        <v>5819.5800000000017</v>
      </c>
      <c r="M103" s="210">
        <f t="shared" si="26"/>
        <v>195.97856808346771</v>
      </c>
      <c r="N103" s="211">
        <f t="shared" si="27"/>
        <v>6015.5585680834693</v>
      </c>
      <c r="O103" s="210">
        <v>0</v>
      </c>
      <c r="P103" s="210">
        <v>0</v>
      </c>
      <c r="Q103" s="210">
        <v>0</v>
      </c>
      <c r="R103" s="211">
        <f t="shared" si="28"/>
        <v>6015.5585680834693</v>
      </c>
    </row>
    <row r="104" spans="1:18" x14ac:dyDescent="0.25">
      <c r="A104" s="125">
        <v>1</v>
      </c>
      <c r="B104" s="202">
        <f t="shared" si="4"/>
        <v>43831</v>
      </c>
      <c r="C104" s="223">
        <f t="shared" si="32"/>
        <v>43866</v>
      </c>
      <c r="D104" s="223">
        <f t="shared" si="32"/>
        <v>43885</v>
      </c>
      <c r="E104" s="204" t="s">
        <v>19</v>
      </c>
      <c r="F104" s="125">
        <v>9</v>
      </c>
      <c r="G104" s="205">
        <v>39</v>
      </c>
      <c r="H104" s="206">
        <f t="shared" si="25"/>
        <v>771.63</v>
      </c>
      <c r="I104" s="206">
        <f t="shared" si="20"/>
        <v>846.24</v>
      </c>
      <c r="J104" s="207">
        <f t="shared" si="2"/>
        <v>33003.360000000001</v>
      </c>
      <c r="K104" s="208">
        <f t="shared" si="30"/>
        <v>30093.57</v>
      </c>
      <c r="L104" s="209">
        <f t="shared" si="31"/>
        <v>2909.7900000000009</v>
      </c>
      <c r="M104" s="210">
        <f t="shared" si="26"/>
        <v>97.989284041733853</v>
      </c>
      <c r="N104" s="211">
        <f t="shared" si="27"/>
        <v>3007.7792840417346</v>
      </c>
      <c r="O104" s="210">
        <v>0</v>
      </c>
      <c r="P104" s="210">
        <v>0</v>
      </c>
      <c r="Q104" s="210">
        <v>0</v>
      </c>
      <c r="R104" s="211">
        <f t="shared" si="28"/>
        <v>3007.7792840417346</v>
      </c>
    </row>
    <row r="105" spans="1:18" x14ac:dyDescent="0.25">
      <c r="A105" s="163">
        <v>2</v>
      </c>
      <c r="B105" s="202">
        <f t="shared" si="4"/>
        <v>43862</v>
      </c>
      <c r="C105" s="226">
        <f t="shared" si="32"/>
        <v>43894</v>
      </c>
      <c r="D105" s="226">
        <f t="shared" si="32"/>
        <v>43914</v>
      </c>
      <c r="E105" s="212" t="s">
        <v>19</v>
      </c>
      <c r="F105" s="163">
        <v>9</v>
      </c>
      <c r="G105" s="205">
        <v>41</v>
      </c>
      <c r="H105" s="206">
        <f t="shared" si="25"/>
        <v>771.63</v>
      </c>
      <c r="I105" s="206">
        <f t="shared" si="20"/>
        <v>846.24</v>
      </c>
      <c r="J105" s="207">
        <f t="shared" si="2"/>
        <v>34695.840000000004</v>
      </c>
      <c r="K105" s="208">
        <f t="shared" si="30"/>
        <v>31636.829999999998</v>
      </c>
      <c r="L105" s="209">
        <f t="shared" si="31"/>
        <v>3059.0100000000057</v>
      </c>
      <c r="M105" s="210">
        <f t="shared" si="26"/>
        <v>103.01437553105355</v>
      </c>
      <c r="N105" s="211">
        <f t="shared" si="27"/>
        <v>3162.0243755310594</v>
      </c>
      <c r="O105" s="210">
        <v>0</v>
      </c>
      <c r="P105" s="210">
        <v>0</v>
      </c>
      <c r="Q105" s="210">
        <v>0</v>
      </c>
      <c r="R105" s="211">
        <f t="shared" si="28"/>
        <v>3162.0243755310594</v>
      </c>
    </row>
    <row r="106" spans="1:18" x14ac:dyDescent="0.25">
      <c r="A106" s="163">
        <v>3</v>
      </c>
      <c r="B106" s="202">
        <f t="shared" si="4"/>
        <v>43891</v>
      </c>
      <c r="C106" s="226">
        <f t="shared" si="32"/>
        <v>43924</v>
      </c>
      <c r="D106" s="226">
        <f t="shared" si="32"/>
        <v>43945</v>
      </c>
      <c r="E106" s="212" t="s">
        <v>19</v>
      </c>
      <c r="F106" s="163">
        <v>9</v>
      </c>
      <c r="G106" s="205">
        <v>36</v>
      </c>
      <c r="H106" s="206">
        <f t="shared" si="25"/>
        <v>771.63</v>
      </c>
      <c r="I106" s="206">
        <f t="shared" si="20"/>
        <v>846.24</v>
      </c>
      <c r="J106" s="207">
        <f t="shared" si="2"/>
        <v>30464.639999999999</v>
      </c>
      <c r="K106" s="208">
        <f t="shared" si="30"/>
        <v>27778.68</v>
      </c>
      <c r="L106" s="209">
        <f>+J106-K106</f>
        <v>2685.9599999999991</v>
      </c>
      <c r="M106" s="210">
        <f t="shared" si="26"/>
        <v>90.451646807754329</v>
      </c>
      <c r="N106" s="211">
        <f t="shared" si="27"/>
        <v>2776.4116468077536</v>
      </c>
      <c r="O106" s="210">
        <v>0</v>
      </c>
      <c r="P106" s="210">
        <v>0</v>
      </c>
      <c r="Q106" s="210">
        <v>0</v>
      </c>
      <c r="R106" s="211">
        <f t="shared" si="28"/>
        <v>2776.4116468077536</v>
      </c>
    </row>
    <row r="107" spans="1:18" x14ac:dyDescent="0.25">
      <c r="A107" s="125">
        <v>4</v>
      </c>
      <c r="B107" s="202">
        <f t="shared" si="4"/>
        <v>43922</v>
      </c>
      <c r="C107" s="226">
        <f t="shared" si="32"/>
        <v>43956</v>
      </c>
      <c r="D107" s="226">
        <f t="shared" si="32"/>
        <v>43976</v>
      </c>
      <c r="E107" s="54" t="s">
        <v>19</v>
      </c>
      <c r="F107" s="163">
        <v>9</v>
      </c>
      <c r="G107" s="205">
        <v>31</v>
      </c>
      <c r="H107" s="206">
        <f t="shared" si="25"/>
        <v>771.63</v>
      </c>
      <c r="I107" s="206">
        <f t="shared" si="20"/>
        <v>846.24</v>
      </c>
      <c r="J107" s="207">
        <f t="shared" si="2"/>
        <v>26233.439999999999</v>
      </c>
      <c r="K107" s="208">
        <f t="shared" si="30"/>
        <v>23920.53</v>
      </c>
      <c r="L107" s="209">
        <f t="shared" ref="L107:L115" si="33">+J107-K107</f>
        <v>2312.91</v>
      </c>
      <c r="M107" s="210">
        <f t="shared" si="26"/>
        <v>77.888918084455113</v>
      </c>
      <c r="N107" s="211">
        <f t="shared" si="27"/>
        <v>2390.7989180844552</v>
      </c>
      <c r="O107" s="210">
        <v>0</v>
      </c>
      <c r="P107" s="210">
        <v>0</v>
      </c>
      <c r="Q107" s="210">
        <v>0</v>
      </c>
      <c r="R107" s="211">
        <f t="shared" si="28"/>
        <v>2390.7989180844552</v>
      </c>
    </row>
    <row r="108" spans="1:18" x14ac:dyDescent="0.25">
      <c r="A108" s="163">
        <v>5</v>
      </c>
      <c r="B108" s="202">
        <f t="shared" si="4"/>
        <v>43952</v>
      </c>
      <c r="C108" s="226">
        <f t="shared" si="32"/>
        <v>43985</v>
      </c>
      <c r="D108" s="226">
        <f t="shared" si="32"/>
        <v>44006</v>
      </c>
      <c r="E108" s="54" t="s">
        <v>19</v>
      </c>
      <c r="F108" s="163">
        <v>9</v>
      </c>
      <c r="G108" s="205">
        <v>32</v>
      </c>
      <c r="H108" s="206">
        <f t="shared" si="25"/>
        <v>771.63</v>
      </c>
      <c r="I108" s="206">
        <f t="shared" ref="I108:I127" si="34">$J$3</f>
        <v>846.24</v>
      </c>
      <c r="J108" s="207">
        <f t="shared" si="2"/>
        <v>27079.68</v>
      </c>
      <c r="K108" s="208">
        <f t="shared" si="30"/>
        <v>24692.16</v>
      </c>
      <c r="L108" s="209">
        <f t="shared" si="33"/>
        <v>2387.5200000000004</v>
      </c>
      <c r="M108" s="210">
        <f t="shared" si="26"/>
        <v>80.401463829114959</v>
      </c>
      <c r="N108" s="211">
        <f t="shared" si="27"/>
        <v>2467.9214638291155</v>
      </c>
      <c r="O108" s="210">
        <v>0</v>
      </c>
      <c r="P108" s="210">
        <v>0</v>
      </c>
      <c r="Q108" s="210">
        <v>0</v>
      </c>
      <c r="R108" s="211">
        <f t="shared" si="28"/>
        <v>2467.9214638291155</v>
      </c>
    </row>
    <row r="109" spans="1:18" x14ac:dyDescent="0.25">
      <c r="A109" s="163">
        <v>6</v>
      </c>
      <c r="B109" s="202">
        <f t="shared" ref="B109:B148" si="35">DATE($R$1,A109,1)</f>
        <v>43983</v>
      </c>
      <c r="C109" s="226">
        <f t="shared" si="32"/>
        <v>44015</v>
      </c>
      <c r="D109" s="226">
        <f t="shared" si="32"/>
        <v>44036</v>
      </c>
      <c r="E109" s="54" t="s">
        <v>19</v>
      </c>
      <c r="F109" s="163">
        <v>9</v>
      </c>
      <c r="G109" s="205">
        <v>39</v>
      </c>
      <c r="H109" s="206">
        <f t="shared" si="25"/>
        <v>771.63</v>
      </c>
      <c r="I109" s="206">
        <f t="shared" si="34"/>
        <v>846.24</v>
      </c>
      <c r="J109" s="207">
        <f t="shared" ref="J109:J148" si="36">+$G109*I109</f>
        <v>33003.360000000001</v>
      </c>
      <c r="K109" s="208">
        <f t="shared" si="30"/>
        <v>30093.57</v>
      </c>
      <c r="L109" s="213">
        <f t="shared" si="33"/>
        <v>2909.7900000000009</v>
      </c>
      <c r="M109" s="210">
        <f t="shared" si="26"/>
        <v>97.989284041733853</v>
      </c>
      <c r="N109" s="211">
        <f t="shared" si="27"/>
        <v>3007.7792840417346</v>
      </c>
      <c r="O109" s="210">
        <v>0</v>
      </c>
      <c r="P109" s="210">
        <v>0</v>
      </c>
      <c r="Q109" s="210">
        <v>0</v>
      </c>
      <c r="R109" s="211">
        <f t="shared" si="28"/>
        <v>3007.7792840417346</v>
      </c>
    </row>
    <row r="110" spans="1:18" x14ac:dyDescent="0.25">
      <c r="A110" s="125">
        <v>7</v>
      </c>
      <c r="B110" s="202">
        <f t="shared" si="35"/>
        <v>44013</v>
      </c>
      <c r="C110" s="226">
        <f t="shared" si="32"/>
        <v>44048</v>
      </c>
      <c r="D110" s="226">
        <f t="shared" si="32"/>
        <v>44067</v>
      </c>
      <c r="E110" s="54" t="s">
        <v>19</v>
      </c>
      <c r="F110" s="163">
        <v>9</v>
      </c>
      <c r="G110" s="205">
        <v>44</v>
      </c>
      <c r="H110" s="206">
        <f t="shared" si="25"/>
        <v>771.63</v>
      </c>
      <c r="I110" s="206">
        <f t="shared" si="34"/>
        <v>846.24</v>
      </c>
      <c r="J110" s="207">
        <f t="shared" si="36"/>
        <v>37234.559999999998</v>
      </c>
      <c r="K110" s="214">
        <f t="shared" si="30"/>
        <v>33951.72</v>
      </c>
      <c r="L110" s="213">
        <f t="shared" si="33"/>
        <v>3282.8399999999965</v>
      </c>
      <c r="M110" s="210">
        <f t="shared" si="26"/>
        <v>110.55201276503307</v>
      </c>
      <c r="N110" s="211">
        <f t="shared" si="27"/>
        <v>3393.3920127650294</v>
      </c>
      <c r="O110" s="210">
        <v>0</v>
      </c>
      <c r="P110" s="210">
        <v>0</v>
      </c>
      <c r="Q110" s="210">
        <v>0</v>
      </c>
      <c r="R110" s="211">
        <f t="shared" si="28"/>
        <v>3393.3920127650294</v>
      </c>
    </row>
    <row r="111" spans="1:18" x14ac:dyDescent="0.25">
      <c r="A111" s="163">
        <v>8</v>
      </c>
      <c r="B111" s="202">
        <f t="shared" si="35"/>
        <v>44044</v>
      </c>
      <c r="C111" s="226">
        <f t="shared" si="32"/>
        <v>44077</v>
      </c>
      <c r="D111" s="226">
        <f t="shared" si="32"/>
        <v>44098</v>
      </c>
      <c r="E111" s="54" t="s">
        <v>19</v>
      </c>
      <c r="F111" s="163">
        <v>9</v>
      </c>
      <c r="G111" s="205">
        <v>38</v>
      </c>
      <c r="H111" s="206">
        <f t="shared" si="25"/>
        <v>771.63</v>
      </c>
      <c r="I111" s="206">
        <f t="shared" si="34"/>
        <v>846.24</v>
      </c>
      <c r="J111" s="207">
        <f t="shared" si="36"/>
        <v>32157.119999999999</v>
      </c>
      <c r="K111" s="214">
        <f t="shared" si="30"/>
        <v>29321.94</v>
      </c>
      <c r="L111" s="213">
        <f t="shared" si="33"/>
        <v>2835.1800000000003</v>
      </c>
      <c r="M111" s="210">
        <f t="shared" si="26"/>
        <v>95.476738297074021</v>
      </c>
      <c r="N111" s="211">
        <f t="shared" si="27"/>
        <v>2930.6567382970743</v>
      </c>
      <c r="O111" s="210">
        <v>0</v>
      </c>
      <c r="P111" s="210">
        <v>0</v>
      </c>
      <c r="Q111" s="210">
        <v>0</v>
      </c>
      <c r="R111" s="211">
        <f t="shared" si="28"/>
        <v>2930.6567382970743</v>
      </c>
    </row>
    <row r="112" spans="1:18" x14ac:dyDescent="0.25">
      <c r="A112" s="163">
        <v>9</v>
      </c>
      <c r="B112" s="202">
        <f t="shared" si="35"/>
        <v>44075</v>
      </c>
      <c r="C112" s="226">
        <f t="shared" si="32"/>
        <v>44109</v>
      </c>
      <c r="D112" s="226">
        <f t="shared" si="32"/>
        <v>44130</v>
      </c>
      <c r="E112" s="54" t="s">
        <v>19</v>
      </c>
      <c r="F112" s="163">
        <v>9</v>
      </c>
      <c r="G112" s="205">
        <v>41</v>
      </c>
      <c r="H112" s="206">
        <f t="shared" si="25"/>
        <v>771.63</v>
      </c>
      <c r="I112" s="206">
        <f t="shared" si="34"/>
        <v>846.24</v>
      </c>
      <c r="J112" s="207">
        <f t="shared" si="36"/>
        <v>34695.840000000004</v>
      </c>
      <c r="K112" s="214">
        <f t="shared" si="30"/>
        <v>31636.829999999998</v>
      </c>
      <c r="L112" s="213">
        <f t="shared" si="33"/>
        <v>3059.0100000000057</v>
      </c>
      <c r="M112" s="210">
        <f t="shared" si="26"/>
        <v>103.01437553105355</v>
      </c>
      <c r="N112" s="211">
        <f t="shared" si="27"/>
        <v>3162.0243755310594</v>
      </c>
      <c r="O112" s="210">
        <v>0</v>
      </c>
      <c r="P112" s="210">
        <v>0</v>
      </c>
      <c r="Q112" s="210">
        <v>0</v>
      </c>
      <c r="R112" s="211">
        <f t="shared" si="28"/>
        <v>3162.0243755310594</v>
      </c>
    </row>
    <row r="113" spans="1:18" x14ac:dyDescent="0.25">
      <c r="A113" s="125">
        <v>10</v>
      </c>
      <c r="B113" s="202">
        <f t="shared" si="35"/>
        <v>44105</v>
      </c>
      <c r="C113" s="226">
        <f t="shared" si="32"/>
        <v>44139</v>
      </c>
      <c r="D113" s="226">
        <f t="shared" si="32"/>
        <v>44159</v>
      </c>
      <c r="E113" s="54" t="s">
        <v>19</v>
      </c>
      <c r="F113" s="163">
        <v>9</v>
      </c>
      <c r="G113" s="205">
        <v>42</v>
      </c>
      <c r="H113" s="206">
        <f t="shared" si="25"/>
        <v>771.63</v>
      </c>
      <c r="I113" s="206">
        <f t="shared" si="34"/>
        <v>846.24</v>
      </c>
      <c r="J113" s="207">
        <f t="shared" si="36"/>
        <v>35542.080000000002</v>
      </c>
      <c r="K113" s="214">
        <f t="shared" si="30"/>
        <v>32408.46</v>
      </c>
      <c r="L113" s="213">
        <f t="shared" si="33"/>
        <v>3133.6200000000026</v>
      </c>
      <c r="M113" s="210">
        <f t="shared" si="26"/>
        <v>105.52692127571338</v>
      </c>
      <c r="N113" s="211">
        <f t="shared" si="27"/>
        <v>3239.1469212757161</v>
      </c>
      <c r="O113" s="210">
        <v>0</v>
      </c>
      <c r="P113" s="210">
        <v>0</v>
      </c>
      <c r="Q113" s="210">
        <v>0</v>
      </c>
      <c r="R113" s="211">
        <f t="shared" si="28"/>
        <v>3239.1469212757161</v>
      </c>
    </row>
    <row r="114" spans="1:18" x14ac:dyDescent="0.25">
      <c r="A114" s="163">
        <v>11</v>
      </c>
      <c r="B114" s="202">
        <f t="shared" si="35"/>
        <v>44136</v>
      </c>
      <c r="C114" s="226">
        <f t="shared" si="32"/>
        <v>44168</v>
      </c>
      <c r="D114" s="226">
        <f t="shared" si="32"/>
        <v>44189</v>
      </c>
      <c r="E114" s="54" t="s">
        <v>19</v>
      </c>
      <c r="F114" s="163">
        <v>9</v>
      </c>
      <c r="G114" s="205">
        <v>45</v>
      </c>
      <c r="H114" s="206">
        <f t="shared" si="25"/>
        <v>771.63</v>
      </c>
      <c r="I114" s="206">
        <f t="shared" si="34"/>
        <v>846.24</v>
      </c>
      <c r="J114" s="207">
        <f t="shared" si="36"/>
        <v>38080.800000000003</v>
      </c>
      <c r="K114" s="214">
        <f t="shared" si="30"/>
        <v>34723.35</v>
      </c>
      <c r="L114" s="213">
        <f t="shared" si="33"/>
        <v>3357.4500000000044</v>
      </c>
      <c r="M114" s="210">
        <f t="shared" si="26"/>
        <v>113.06455850969292</v>
      </c>
      <c r="N114" s="211">
        <f t="shared" si="27"/>
        <v>3470.5145585096971</v>
      </c>
      <c r="O114" s="210">
        <v>0</v>
      </c>
      <c r="P114" s="210">
        <v>0</v>
      </c>
      <c r="Q114" s="210">
        <v>0</v>
      </c>
      <c r="R114" s="211">
        <f t="shared" si="28"/>
        <v>3470.5145585096971</v>
      </c>
    </row>
    <row r="115" spans="1:18" s="230" customFormat="1" x14ac:dyDescent="0.25">
      <c r="A115" s="163">
        <v>12</v>
      </c>
      <c r="B115" s="228">
        <f t="shared" si="35"/>
        <v>44166</v>
      </c>
      <c r="C115" s="231">
        <f t="shared" si="32"/>
        <v>44202</v>
      </c>
      <c r="D115" s="231">
        <f t="shared" si="32"/>
        <v>44221</v>
      </c>
      <c r="E115" s="229" t="s">
        <v>19</v>
      </c>
      <c r="F115" s="174">
        <v>9</v>
      </c>
      <c r="G115" s="217">
        <v>43</v>
      </c>
      <c r="H115" s="218">
        <f t="shared" si="25"/>
        <v>771.63</v>
      </c>
      <c r="I115" s="218">
        <f t="shared" si="34"/>
        <v>846.24</v>
      </c>
      <c r="J115" s="219">
        <f t="shared" si="36"/>
        <v>36388.32</v>
      </c>
      <c r="K115" s="220">
        <f t="shared" si="30"/>
        <v>33180.089999999997</v>
      </c>
      <c r="L115" s="221">
        <f t="shared" si="33"/>
        <v>3208.2300000000032</v>
      </c>
      <c r="M115" s="210">
        <f t="shared" si="26"/>
        <v>108.03946702037322</v>
      </c>
      <c r="N115" s="211">
        <f t="shared" si="27"/>
        <v>3316.2694670203764</v>
      </c>
      <c r="O115" s="210">
        <v>0</v>
      </c>
      <c r="P115" s="210">
        <v>0</v>
      </c>
      <c r="Q115" s="210">
        <v>0</v>
      </c>
      <c r="R115" s="211">
        <f t="shared" si="28"/>
        <v>3316.2694670203764</v>
      </c>
    </row>
    <row r="116" spans="1:18" x14ac:dyDescent="0.25">
      <c r="A116" s="125">
        <v>1</v>
      </c>
      <c r="B116" s="202">
        <f t="shared" si="35"/>
        <v>43831</v>
      </c>
      <c r="C116" s="226">
        <f t="shared" si="32"/>
        <v>43866</v>
      </c>
      <c r="D116" s="226">
        <f t="shared" si="32"/>
        <v>43885</v>
      </c>
      <c r="E116" s="204" t="s">
        <v>13</v>
      </c>
      <c r="F116" s="125">
        <v>9</v>
      </c>
      <c r="G116" s="205">
        <v>973</v>
      </c>
      <c r="H116" s="206">
        <f t="shared" si="25"/>
        <v>771.63</v>
      </c>
      <c r="I116" s="206">
        <f t="shared" si="34"/>
        <v>846.24</v>
      </c>
      <c r="J116" s="207">
        <f t="shared" si="36"/>
        <v>823391.52</v>
      </c>
      <c r="K116" s="208">
        <f t="shared" si="30"/>
        <v>750795.99</v>
      </c>
      <c r="L116" s="209">
        <f>+J116-K116</f>
        <v>72595.530000000028</v>
      </c>
      <c r="M116" s="210">
        <f t="shared" si="26"/>
        <v>2444.7070095540266</v>
      </c>
      <c r="N116" s="211">
        <f t="shared" si="27"/>
        <v>75040.237009554054</v>
      </c>
      <c r="O116" s="210">
        <v>0</v>
      </c>
      <c r="P116" s="210">
        <v>0</v>
      </c>
      <c r="Q116" s="210">
        <v>0</v>
      </c>
      <c r="R116" s="211">
        <f t="shared" si="28"/>
        <v>75040.237009554054</v>
      </c>
    </row>
    <row r="117" spans="1:18" x14ac:dyDescent="0.25">
      <c r="A117" s="163">
        <v>2</v>
      </c>
      <c r="B117" s="202">
        <f t="shared" si="35"/>
        <v>43862</v>
      </c>
      <c r="C117" s="226">
        <f t="shared" ref="C117:D139" si="37">+C105</f>
        <v>43894</v>
      </c>
      <c r="D117" s="226">
        <f t="shared" si="37"/>
        <v>43914</v>
      </c>
      <c r="E117" s="212" t="s">
        <v>13</v>
      </c>
      <c r="F117" s="163">
        <v>9</v>
      </c>
      <c r="G117" s="205">
        <v>991</v>
      </c>
      <c r="H117" s="206">
        <f t="shared" si="25"/>
        <v>771.63</v>
      </c>
      <c r="I117" s="206">
        <f t="shared" si="34"/>
        <v>846.24</v>
      </c>
      <c r="J117" s="207">
        <f t="shared" si="36"/>
        <v>838623.84</v>
      </c>
      <c r="K117" s="208">
        <f t="shared" si="30"/>
        <v>764685.33</v>
      </c>
      <c r="L117" s="209">
        <f>+J117-K117</f>
        <v>73938.510000000009</v>
      </c>
      <c r="M117" s="210">
        <f t="shared" si="26"/>
        <v>2489.9328329579039</v>
      </c>
      <c r="N117" s="211">
        <f t="shared" si="27"/>
        <v>76428.44283295791</v>
      </c>
      <c r="O117" s="210">
        <v>0</v>
      </c>
      <c r="P117" s="210">
        <v>0</v>
      </c>
      <c r="Q117" s="210">
        <v>0</v>
      </c>
      <c r="R117" s="211">
        <f t="shared" si="28"/>
        <v>76428.44283295791</v>
      </c>
    </row>
    <row r="118" spans="1:18" x14ac:dyDescent="0.25">
      <c r="A118" s="163">
        <v>3</v>
      </c>
      <c r="B118" s="202">
        <f t="shared" si="35"/>
        <v>43891</v>
      </c>
      <c r="C118" s="226">
        <f t="shared" si="37"/>
        <v>43924</v>
      </c>
      <c r="D118" s="226">
        <f t="shared" si="37"/>
        <v>43945</v>
      </c>
      <c r="E118" s="212" t="s">
        <v>13</v>
      </c>
      <c r="F118" s="163">
        <v>9</v>
      </c>
      <c r="G118" s="205">
        <v>585</v>
      </c>
      <c r="H118" s="206">
        <f t="shared" si="25"/>
        <v>771.63</v>
      </c>
      <c r="I118" s="206">
        <f t="shared" si="34"/>
        <v>846.24</v>
      </c>
      <c r="J118" s="207">
        <f t="shared" si="36"/>
        <v>495050.4</v>
      </c>
      <c r="K118" s="208">
        <f t="shared" si="30"/>
        <v>451403.55</v>
      </c>
      <c r="L118" s="209">
        <f>+J118-K118</f>
        <v>43646.850000000035</v>
      </c>
      <c r="M118" s="210">
        <f t="shared" si="26"/>
        <v>1469.8392606260079</v>
      </c>
      <c r="N118" s="211">
        <f t="shared" si="27"/>
        <v>45116.689260626044</v>
      </c>
      <c r="O118" s="210">
        <v>0</v>
      </c>
      <c r="P118" s="210">
        <v>0</v>
      </c>
      <c r="Q118" s="210">
        <v>0</v>
      </c>
      <c r="R118" s="211">
        <f t="shared" si="28"/>
        <v>45116.689260626044</v>
      </c>
    </row>
    <row r="119" spans="1:18" x14ac:dyDescent="0.25">
      <c r="A119" s="125">
        <v>4</v>
      </c>
      <c r="B119" s="202">
        <f t="shared" si="35"/>
        <v>43922</v>
      </c>
      <c r="C119" s="226">
        <f t="shared" si="37"/>
        <v>43956</v>
      </c>
      <c r="D119" s="226">
        <f t="shared" si="37"/>
        <v>43976</v>
      </c>
      <c r="E119" s="54" t="s">
        <v>13</v>
      </c>
      <c r="F119" s="163">
        <v>9</v>
      </c>
      <c r="G119" s="205">
        <v>650</v>
      </c>
      <c r="H119" s="206">
        <f t="shared" si="25"/>
        <v>771.63</v>
      </c>
      <c r="I119" s="206">
        <f t="shared" si="34"/>
        <v>846.24</v>
      </c>
      <c r="J119" s="207">
        <f t="shared" si="36"/>
        <v>550056</v>
      </c>
      <c r="K119" s="208">
        <f t="shared" si="30"/>
        <v>501559.5</v>
      </c>
      <c r="L119" s="209">
        <f t="shared" ref="L119:L127" si="38">+J119-K119</f>
        <v>48496.5</v>
      </c>
      <c r="M119" s="210">
        <f t="shared" si="26"/>
        <v>1633.1547340288976</v>
      </c>
      <c r="N119" s="211">
        <f t="shared" si="27"/>
        <v>50129.654734028896</v>
      </c>
      <c r="O119" s="210">
        <v>0</v>
      </c>
      <c r="P119" s="210">
        <v>0</v>
      </c>
      <c r="Q119" s="210">
        <v>0</v>
      </c>
      <c r="R119" s="211">
        <f t="shared" si="28"/>
        <v>50129.654734028896</v>
      </c>
    </row>
    <row r="120" spans="1:18" x14ac:dyDescent="0.25">
      <c r="A120" s="163">
        <v>5</v>
      </c>
      <c r="B120" s="202">
        <f t="shared" si="35"/>
        <v>43952</v>
      </c>
      <c r="C120" s="226">
        <f t="shared" si="37"/>
        <v>43985</v>
      </c>
      <c r="D120" s="226">
        <f t="shared" si="37"/>
        <v>44006</v>
      </c>
      <c r="E120" s="54" t="s">
        <v>13</v>
      </c>
      <c r="F120" s="163">
        <v>9</v>
      </c>
      <c r="G120" s="205">
        <v>688</v>
      </c>
      <c r="H120" s="206">
        <f t="shared" si="25"/>
        <v>771.63</v>
      </c>
      <c r="I120" s="206">
        <f t="shared" si="34"/>
        <v>846.24</v>
      </c>
      <c r="J120" s="207">
        <f t="shared" si="36"/>
        <v>582213.12</v>
      </c>
      <c r="K120" s="208">
        <f t="shared" si="30"/>
        <v>530881.43999999994</v>
      </c>
      <c r="L120" s="209">
        <f t="shared" si="38"/>
        <v>51331.680000000051</v>
      </c>
      <c r="M120" s="210">
        <f t="shared" si="26"/>
        <v>1728.6314723259716</v>
      </c>
      <c r="N120" s="211">
        <f t="shared" si="27"/>
        <v>53060.311472326022</v>
      </c>
      <c r="O120" s="210">
        <v>0</v>
      </c>
      <c r="P120" s="210">
        <v>0</v>
      </c>
      <c r="Q120" s="210">
        <v>0</v>
      </c>
      <c r="R120" s="211">
        <f t="shared" si="28"/>
        <v>53060.311472326022</v>
      </c>
    </row>
    <row r="121" spans="1:18" x14ac:dyDescent="0.25">
      <c r="A121" s="163">
        <v>6</v>
      </c>
      <c r="B121" s="202">
        <f t="shared" si="35"/>
        <v>43983</v>
      </c>
      <c r="C121" s="226">
        <f t="shared" si="37"/>
        <v>44015</v>
      </c>
      <c r="D121" s="226">
        <f t="shared" si="37"/>
        <v>44036</v>
      </c>
      <c r="E121" s="54" t="s">
        <v>13</v>
      </c>
      <c r="F121" s="163">
        <v>9</v>
      </c>
      <c r="G121" s="205">
        <v>835</v>
      </c>
      <c r="H121" s="206">
        <f t="shared" si="25"/>
        <v>771.63</v>
      </c>
      <c r="I121" s="206">
        <f t="shared" si="34"/>
        <v>846.24</v>
      </c>
      <c r="J121" s="207">
        <f t="shared" si="36"/>
        <v>706610.4</v>
      </c>
      <c r="K121" s="208">
        <f t="shared" si="30"/>
        <v>644311.05000000005</v>
      </c>
      <c r="L121" s="213">
        <f t="shared" si="38"/>
        <v>62299.349999999977</v>
      </c>
      <c r="M121" s="210">
        <f t="shared" si="26"/>
        <v>2097.9756967909684</v>
      </c>
      <c r="N121" s="211">
        <f t="shared" si="27"/>
        <v>64397.325696790947</v>
      </c>
      <c r="O121" s="210">
        <v>0</v>
      </c>
      <c r="P121" s="210">
        <v>0</v>
      </c>
      <c r="Q121" s="210">
        <v>0</v>
      </c>
      <c r="R121" s="211">
        <f t="shared" si="28"/>
        <v>64397.325696790947</v>
      </c>
    </row>
    <row r="122" spans="1:18" x14ac:dyDescent="0.25">
      <c r="A122" s="125">
        <v>7</v>
      </c>
      <c r="B122" s="202">
        <f t="shared" si="35"/>
        <v>44013</v>
      </c>
      <c r="C122" s="226">
        <f t="shared" si="37"/>
        <v>44048</v>
      </c>
      <c r="D122" s="226">
        <f t="shared" si="37"/>
        <v>44067</v>
      </c>
      <c r="E122" s="54" t="s">
        <v>13</v>
      </c>
      <c r="F122" s="163">
        <v>9</v>
      </c>
      <c r="G122" s="205">
        <v>908</v>
      </c>
      <c r="H122" s="206">
        <f t="shared" si="25"/>
        <v>771.63</v>
      </c>
      <c r="I122" s="206">
        <f t="shared" si="34"/>
        <v>846.24</v>
      </c>
      <c r="J122" s="207">
        <f t="shared" si="36"/>
        <v>768385.92</v>
      </c>
      <c r="K122" s="214">
        <f t="shared" si="30"/>
        <v>700640.04</v>
      </c>
      <c r="L122" s="213">
        <f t="shared" si="38"/>
        <v>67745.88</v>
      </c>
      <c r="M122" s="210">
        <f t="shared" si="26"/>
        <v>2281.3915361511367</v>
      </c>
      <c r="N122" s="211">
        <f t="shared" si="27"/>
        <v>70027.271536151136</v>
      </c>
      <c r="O122" s="210">
        <v>0</v>
      </c>
      <c r="P122" s="210">
        <v>0</v>
      </c>
      <c r="Q122" s="210">
        <v>0</v>
      </c>
      <c r="R122" s="211">
        <f t="shared" si="28"/>
        <v>70027.271536151136</v>
      </c>
    </row>
    <row r="123" spans="1:18" x14ac:dyDescent="0.25">
      <c r="A123" s="163">
        <v>8</v>
      </c>
      <c r="B123" s="202">
        <f t="shared" si="35"/>
        <v>44044</v>
      </c>
      <c r="C123" s="226">
        <f t="shared" si="37"/>
        <v>44077</v>
      </c>
      <c r="D123" s="226">
        <f t="shared" si="37"/>
        <v>44098</v>
      </c>
      <c r="E123" s="54" t="s">
        <v>13</v>
      </c>
      <c r="F123" s="163">
        <v>9</v>
      </c>
      <c r="G123" s="205">
        <v>905</v>
      </c>
      <c r="H123" s="206">
        <f t="shared" si="25"/>
        <v>771.63</v>
      </c>
      <c r="I123" s="206">
        <f t="shared" si="34"/>
        <v>846.24</v>
      </c>
      <c r="J123" s="207">
        <f t="shared" si="36"/>
        <v>765847.2</v>
      </c>
      <c r="K123" s="214">
        <f t="shared" si="30"/>
        <v>698325.15</v>
      </c>
      <c r="L123" s="213">
        <f t="shared" si="38"/>
        <v>67522.04999999993</v>
      </c>
      <c r="M123" s="210">
        <f t="shared" si="26"/>
        <v>2273.8538989171575</v>
      </c>
      <c r="N123" s="211">
        <f t="shared" si="27"/>
        <v>69795.90389891708</v>
      </c>
      <c r="O123" s="210">
        <v>0</v>
      </c>
      <c r="P123" s="210">
        <v>0</v>
      </c>
      <c r="Q123" s="210">
        <v>0</v>
      </c>
      <c r="R123" s="211">
        <f t="shared" si="28"/>
        <v>69795.90389891708</v>
      </c>
    </row>
    <row r="124" spans="1:18" x14ac:dyDescent="0.25">
      <c r="A124" s="163">
        <v>9</v>
      </c>
      <c r="B124" s="202">
        <f t="shared" si="35"/>
        <v>44075</v>
      </c>
      <c r="C124" s="226">
        <f t="shared" si="37"/>
        <v>44109</v>
      </c>
      <c r="D124" s="226">
        <f t="shared" si="37"/>
        <v>44130</v>
      </c>
      <c r="E124" s="54" t="s">
        <v>13</v>
      </c>
      <c r="F124" s="163">
        <v>9</v>
      </c>
      <c r="G124" s="205">
        <v>758</v>
      </c>
      <c r="H124" s="206">
        <f t="shared" si="25"/>
        <v>771.63</v>
      </c>
      <c r="I124" s="206">
        <f t="shared" si="34"/>
        <v>846.24</v>
      </c>
      <c r="J124" s="207">
        <f t="shared" si="36"/>
        <v>641449.92000000004</v>
      </c>
      <c r="K124" s="214">
        <f t="shared" si="30"/>
        <v>584895.54</v>
      </c>
      <c r="L124" s="213">
        <f t="shared" si="38"/>
        <v>56554.380000000005</v>
      </c>
      <c r="M124" s="210">
        <f t="shared" si="26"/>
        <v>1904.5096744521604</v>
      </c>
      <c r="N124" s="211">
        <f t="shared" si="27"/>
        <v>58458.889674452163</v>
      </c>
      <c r="O124" s="210">
        <v>0</v>
      </c>
      <c r="P124" s="210">
        <v>0</v>
      </c>
      <c r="Q124" s="210">
        <v>0</v>
      </c>
      <c r="R124" s="211">
        <f t="shared" si="28"/>
        <v>58458.889674452163</v>
      </c>
    </row>
    <row r="125" spans="1:18" x14ac:dyDescent="0.25">
      <c r="A125" s="125">
        <v>10</v>
      </c>
      <c r="B125" s="202">
        <f t="shared" si="35"/>
        <v>44105</v>
      </c>
      <c r="C125" s="226">
        <f t="shared" si="37"/>
        <v>44139</v>
      </c>
      <c r="D125" s="226">
        <f t="shared" si="37"/>
        <v>44159</v>
      </c>
      <c r="E125" s="54" t="s">
        <v>13</v>
      </c>
      <c r="F125" s="163">
        <v>9</v>
      </c>
      <c r="G125" s="205">
        <v>713</v>
      </c>
      <c r="H125" s="206">
        <f t="shared" si="25"/>
        <v>771.63</v>
      </c>
      <c r="I125" s="206">
        <f t="shared" si="34"/>
        <v>846.24</v>
      </c>
      <c r="J125" s="207">
        <f t="shared" si="36"/>
        <v>603369.12</v>
      </c>
      <c r="K125" s="214">
        <f t="shared" si="30"/>
        <v>550172.18999999994</v>
      </c>
      <c r="L125" s="213">
        <f t="shared" si="38"/>
        <v>53196.930000000051</v>
      </c>
      <c r="M125" s="210">
        <f t="shared" si="26"/>
        <v>1791.4451159424677</v>
      </c>
      <c r="N125" s="211">
        <f t="shared" si="27"/>
        <v>54988.375115942516</v>
      </c>
      <c r="O125" s="210">
        <v>0</v>
      </c>
      <c r="P125" s="210">
        <v>0</v>
      </c>
      <c r="Q125" s="210">
        <v>0</v>
      </c>
      <c r="R125" s="211">
        <f t="shared" si="28"/>
        <v>54988.375115942516</v>
      </c>
    </row>
    <row r="126" spans="1:18" x14ac:dyDescent="0.25">
      <c r="A126" s="163">
        <v>11</v>
      </c>
      <c r="B126" s="202">
        <f t="shared" si="35"/>
        <v>44136</v>
      </c>
      <c r="C126" s="226">
        <f t="shared" si="37"/>
        <v>44168</v>
      </c>
      <c r="D126" s="226">
        <f t="shared" si="37"/>
        <v>44189</v>
      </c>
      <c r="E126" s="54" t="s">
        <v>13</v>
      </c>
      <c r="F126" s="163">
        <v>9</v>
      </c>
      <c r="G126" s="205">
        <v>763</v>
      </c>
      <c r="H126" s="206">
        <f t="shared" si="25"/>
        <v>771.63</v>
      </c>
      <c r="I126" s="206">
        <f t="shared" si="34"/>
        <v>846.24</v>
      </c>
      <c r="J126" s="207">
        <f t="shared" si="36"/>
        <v>645681.12</v>
      </c>
      <c r="K126" s="214">
        <f t="shared" si="30"/>
        <v>588753.68999999994</v>
      </c>
      <c r="L126" s="213">
        <f t="shared" si="38"/>
        <v>56927.430000000051</v>
      </c>
      <c r="M126" s="210">
        <f t="shared" si="26"/>
        <v>1917.0724031754598</v>
      </c>
      <c r="N126" s="211">
        <f t="shared" si="27"/>
        <v>58844.502403175509</v>
      </c>
      <c r="O126" s="210">
        <v>0</v>
      </c>
      <c r="P126" s="210">
        <v>0</v>
      </c>
      <c r="Q126" s="210">
        <v>0</v>
      </c>
      <c r="R126" s="211">
        <f t="shared" si="28"/>
        <v>58844.502403175509</v>
      </c>
    </row>
    <row r="127" spans="1:18" s="230" customFormat="1" x14ac:dyDescent="0.25">
      <c r="A127" s="163">
        <v>12</v>
      </c>
      <c r="B127" s="228">
        <f t="shared" si="35"/>
        <v>44166</v>
      </c>
      <c r="C127" s="231">
        <f t="shared" si="37"/>
        <v>44202</v>
      </c>
      <c r="D127" s="231">
        <f t="shared" si="37"/>
        <v>44221</v>
      </c>
      <c r="E127" s="229" t="s">
        <v>13</v>
      </c>
      <c r="F127" s="174">
        <v>9</v>
      </c>
      <c r="G127" s="217">
        <v>988</v>
      </c>
      <c r="H127" s="218">
        <f t="shared" si="25"/>
        <v>771.63</v>
      </c>
      <c r="I127" s="218">
        <f t="shared" si="34"/>
        <v>846.24</v>
      </c>
      <c r="J127" s="219">
        <f t="shared" si="36"/>
        <v>836085.12</v>
      </c>
      <c r="K127" s="220">
        <f t="shared" si="30"/>
        <v>762370.44</v>
      </c>
      <c r="L127" s="221">
        <f t="shared" si="38"/>
        <v>73714.680000000051</v>
      </c>
      <c r="M127" s="210">
        <f t="shared" si="26"/>
        <v>2482.3951957239242</v>
      </c>
      <c r="N127" s="211">
        <f t="shared" si="27"/>
        <v>76197.07519572397</v>
      </c>
      <c r="O127" s="210">
        <v>0</v>
      </c>
      <c r="P127" s="210">
        <v>0</v>
      </c>
      <c r="Q127" s="210">
        <v>0</v>
      </c>
      <c r="R127" s="211">
        <f t="shared" si="28"/>
        <v>76197.07519572397</v>
      </c>
    </row>
    <row r="128" spans="1:18" x14ac:dyDescent="0.25">
      <c r="A128" s="125">
        <v>1</v>
      </c>
      <c r="B128" s="202">
        <f t="shared" si="35"/>
        <v>43831</v>
      </c>
      <c r="C128" s="226">
        <f t="shared" si="37"/>
        <v>43866</v>
      </c>
      <c r="D128" s="226">
        <f t="shared" si="37"/>
        <v>43885</v>
      </c>
      <c r="E128" s="204" t="s">
        <v>15</v>
      </c>
      <c r="F128" s="125">
        <v>9</v>
      </c>
      <c r="G128" s="205">
        <v>6</v>
      </c>
      <c r="H128" s="206">
        <f t="shared" si="25"/>
        <v>771.63</v>
      </c>
      <c r="I128" s="206">
        <f t="shared" ref="I128:I147" si="39">$J$3</f>
        <v>846.24</v>
      </c>
      <c r="J128" s="207">
        <f t="shared" si="36"/>
        <v>5077.4400000000005</v>
      </c>
      <c r="K128" s="208">
        <f t="shared" si="30"/>
        <v>4629.78</v>
      </c>
      <c r="L128" s="209">
        <f>+J128-K128</f>
        <v>447.66000000000076</v>
      </c>
      <c r="M128" s="210">
        <f t="shared" si="26"/>
        <v>15.075274467959053</v>
      </c>
      <c r="N128" s="211">
        <f t="shared" si="27"/>
        <v>462.73527446795981</v>
      </c>
      <c r="O128" s="210">
        <v>0</v>
      </c>
      <c r="P128" s="210">
        <v>0</v>
      </c>
      <c r="Q128" s="210">
        <v>0</v>
      </c>
      <c r="R128" s="211">
        <f t="shared" si="28"/>
        <v>462.73527446795981</v>
      </c>
    </row>
    <row r="129" spans="1:18" x14ac:dyDescent="0.25">
      <c r="A129" s="163">
        <v>2</v>
      </c>
      <c r="B129" s="202">
        <f t="shared" si="35"/>
        <v>43862</v>
      </c>
      <c r="C129" s="226">
        <f t="shared" si="37"/>
        <v>43894</v>
      </c>
      <c r="D129" s="226">
        <f t="shared" si="37"/>
        <v>43914</v>
      </c>
      <c r="E129" s="212" t="s">
        <v>15</v>
      </c>
      <c r="F129" s="163">
        <v>9</v>
      </c>
      <c r="G129" s="205">
        <v>5</v>
      </c>
      <c r="H129" s="206">
        <f t="shared" si="25"/>
        <v>771.63</v>
      </c>
      <c r="I129" s="206">
        <f t="shared" si="39"/>
        <v>846.24</v>
      </c>
      <c r="J129" s="207">
        <f t="shared" si="36"/>
        <v>4231.2</v>
      </c>
      <c r="K129" s="208">
        <f t="shared" si="30"/>
        <v>3858.15</v>
      </c>
      <c r="L129" s="209">
        <f>+J129-K129</f>
        <v>373.04999999999973</v>
      </c>
      <c r="M129" s="210">
        <f t="shared" si="26"/>
        <v>12.562728723299212</v>
      </c>
      <c r="N129" s="211">
        <f t="shared" si="27"/>
        <v>385.61272872329891</v>
      </c>
      <c r="O129" s="210">
        <v>0</v>
      </c>
      <c r="P129" s="210">
        <v>0</v>
      </c>
      <c r="Q129" s="210">
        <v>0</v>
      </c>
      <c r="R129" s="211">
        <f t="shared" si="28"/>
        <v>385.61272872329891</v>
      </c>
    </row>
    <row r="130" spans="1:18" x14ac:dyDescent="0.25">
      <c r="A130" s="163">
        <v>3</v>
      </c>
      <c r="B130" s="202">
        <f t="shared" si="35"/>
        <v>43891</v>
      </c>
      <c r="C130" s="226">
        <f t="shared" si="37"/>
        <v>43924</v>
      </c>
      <c r="D130" s="226">
        <f t="shared" si="37"/>
        <v>43945</v>
      </c>
      <c r="E130" s="212" t="s">
        <v>15</v>
      </c>
      <c r="F130" s="163">
        <v>9</v>
      </c>
      <c r="G130" s="205">
        <v>4</v>
      </c>
      <c r="H130" s="206">
        <f t="shared" si="25"/>
        <v>771.63</v>
      </c>
      <c r="I130" s="206">
        <f t="shared" si="39"/>
        <v>846.24</v>
      </c>
      <c r="J130" s="207">
        <f t="shared" si="36"/>
        <v>3384.96</v>
      </c>
      <c r="K130" s="208">
        <f t="shared" si="30"/>
        <v>3086.52</v>
      </c>
      <c r="L130" s="209">
        <f>+J130-K130</f>
        <v>298.44000000000005</v>
      </c>
      <c r="M130" s="210">
        <f t="shared" si="26"/>
        <v>10.05018297863937</v>
      </c>
      <c r="N130" s="211">
        <f t="shared" si="27"/>
        <v>308.49018297863944</v>
      </c>
      <c r="O130" s="210">
        <v>0</v>
      </c>
      <c r="P130" s="210">
        <v>0</v>
      </c>
      <c r="Q130" s="210">
        <v>0</v>
      </c>
      <c r="R130" s="211">
        <f t="shared" si="28"/>
        <v>308.49018297863944</v>
      </c>
    </row>
    <row r="131" spans="1:18" x14ac:dyDescent="0.25">
      <c r="A131" s="125">
        <v>4</v>
      </c>
      <c r="B131" s="202">
        <f t="shared" si="35"/>
        <v>43922</v>
      </c>
      <c r="C131" s="226">
        <f t="shared" si="37"/>
        <v>43956</v>
      </c>
      <c r="D131" s="226">
        <f t="shared" si="37"/>
        <v>43976</v>
      </c>
      <c r="E131" s="212" t="s">
        <v>15</v>
      </c>
      <c r="F131" s="163">
        <v>9</v>
      </c>
      <c r="G131" s="205">
        <v>7</v>
      </c>
      <c r="H131" s="206">
        <f t="shared" si="25"/>
        <v>771.63</v>
      </c>
      <c r="I131" s="206">
        <f t="shared" si="39"/>
        <v>846.24</v>
      </c>
      <c r="J131" s="207">
        <f t="shared" si="36"/>
        <v>5923.68</v>
      </c>
      <c r="K131" s="208">
        <f t="shared" si="30"/>
        <v>5401.41</v>
      </c>
      <c r="L131" s="209">
        <f t="shared" ref="L131:L141" si="40">+J131-K131</f>
        <v>522.27000000000044</v>
      </c>
      <c r="M131" s="210">
        <f t="shared" si="26"/>
        <v>17.587820212618897</v>
      </c>
      <c r="N131" s="211">
        <f t="shared" si="27"/>
        <v>539.85782021261934</v>
      </c>
      <c r="O131" s="210">
        <v>0</v>
      </c>
      <c r="P131" s="210">
        <v>0</v>
      </c>
      <c r="Q131" s="210">
        <v>0</v>
      </c>
      <c r="R131" s="211">
        <f t="shared" si="28"/>
        <v>539.85782021261934</v>
      </c>
    </row>
    <row r="132" spans="1:18" x14ac:dyDescent="0.25">
      <c r="A132" s="163">
        <v>5</v>
      </c>
      <c r="B132" s="202">
        <f t="shared" si="35"/>
        <v>43952</v>
      </c>
      <c r="C132" s="226">
        <f t="shared" si="37"/>
        <v>43985</v>
      </c>
      <c r="D132" s="226">
        <f t="shared" si="37"/>
        <v>44006</v>
      </c>
      <c r="E132" s="54" t="s">
        <v>15</v>
      </c>
      <c r="F132" s="163">
        <v>9</v>
      </c>
      <c r="G132" s="205">
        <v>11</v>
      </c>
      <c r="H132" s="206">
        <f t="shared" si="25"/>
        <v>771.63</v>
      </c>
      <c r="I132" s="206">
        <f t="shared" si="39"/>
        <v>846.24</v>
      </c>
      <c r="J132" s="207">
        <f t="shared" si="36"/>
        <v>9308.64</v>
      </c>
      <c r="K132" s="208">
        <f t="shared" si="30"/>
        <v>8487.93</v>
      </c>
      <c r="L132" s="209">
        <f t="shared" si="40"/>
        <v>820.70999999999913</v>
      </c>
      <c r="M132" s="210">
        <f t="shared" si="26"/>
        <v>27.638003191258267</v>
      </c>
      <c r="N132" s="211">
        <f t="shared" si="27"/>
        <v>848.34800319125736</v>
      </c>
      <c r="O132" s="210">
        <v>0</v>
      </c>
      <c r="P132" s="210">
        <v>0</v>
      </c>
      <c r="Q132" s="210">
        <v>0</v>
      </c>
      <c r="R132" s="211">
        <f t="shared" si="28"/>
        <v>848.34800319125736</v>
      </c>
    </row>
    <row r="133" spans="1:18" x14ac:dyDescent="0.25">
      <c r="A133" s="163">
        <v>6</v>
      </c>
      <c r="B133" s="202">
        <f t="shared" si="35"/>
        <v>43983</v>
      </c>
      <c r="C133" s="226">
        <f t="shared" si="37"/>
        <v>44015</v>
      </c>
      <c r="D133" s="226">
        <f t="shared" si="37"/>
        <v>44036</v>
      </c>
      <c r="E133" s="54" t="s">
        <v>15</v>
      </c>
      <c r="F133" s="163">
        <v>9</v>
      </c>
      <c r="G133" s="205">
        <v>12</v>
      </c>
      <c r="H133" s="206">
        <f t="shared" si="25"/>
        <v>771.63</v>
      </c>
      <c r="I133" s="206">
        <f t="shared" si="39"/>
        <v>846.24</v>
      </c>
      <c r="J133" s="207">
        <f t="shared" si="36"/>
        <v>10154.880000000001</v>
      </c>
      <c r="K133" s="208">
        <f t="shared" si="30"/>
        <v>9259.56</v>
      </c>
      <c r="L133" s="213">
        <f t="shared" si="40"/>
        <v>895.32000000000153</v>
      </c>
      <c r="M133" s="210">
        <f t="shared" si="26"/>
        <v>30.150548935918106</v>
      </c>
      <c r="N133" s="211">
        <f t="shared" si="27"/>
        <v>925.47054893591962</v>
      </c>
      <c r="O133" s="210">
        <v>0</v>
      </c>
      <c r="P133" s="210">
        <v>0</v>
      </c>
      <c r="Q133" s="210">
        <v>0</v>
      </c>
      <c r="R133" s="211">
        <f t="shared" si="28"/>
        <v>925.47054893591962</v>
      </c>
    </row>
    <row r="134" spans="1:18" x14ac:dyDescent="0.25">
      <c r="A134" s="125">
        <v>7</v>
      </c>
      <c r="B134" s="202">
        <f t="shared" si="35"/>
        <v>44013</v>
      </c>
      <c r="C134" s="226">
        <f t="shared" si="37"/>
        <v>44048</v>
      </c>
      <c r="D134" s="226">
        <f t="shared" si="37"/>
        <v>44067</v>
      </c>
      <c r="E134" s="54" t="s">
        <v>15</v>
      </c>
      <c r="F134" s="163">
        <v>9</v>
      </c>
      <c r="G134" s="205">
        <v>18</v>
      </c>
      <c r="H134" s="206">
        <f t="shared" si="25"/>
        <v>771.63</v>
      </c>
      <c r="I134" s="206">
        <f t="shared" si="39"/>
        <v>846.24</v>
      </c>
      <c r="J134" s="207">
        <f t="shared" si="36"/>
        <v>15232.32</v>
      </c>
      <c r="K134" s="214">
        <f t="shared" ref="K134:K197" si="41">+$G134*H134</f>
        <v>13889.34</v>
      </c>
      <c r="L134" s="213">
        <f t="shared" si="40"/>
        <v>1342.9799999999996</v>
      </c>
      <c r="M134" s="210">
        <f t="shared" si="26"/>
        <v>45.225823403877165</v>
      </c>
      <c r="N134" s="211">
        <f t="shared" si="27"/>
        <v>1388.2058234038768</v>
      </c>
      <c r="O134" s="210">
        <v>0</v>
      </c>
      <c r="P134" s="210">
        <v>0</v>
      </c>
      <c r="Q134" s="210">
        <v>0</v>
      </c>
      <c r="R134" s="211">
        <f t="shared" si="28"/>
        <v>1388.2058234038768</v>
      </c>
    </row>
    <row r="135" spans="1:18" x14ac:dyDescent="0.25">
      <c r="A135" s="163">
        <v>8</v>
      </c>
      <c r="B135" s="202">
        <f t="shared" si="35"/>
        <v>44044</v>
      </c>
      <c r="C135" s="226">
        <f t="shared" si="37"/>
        <v>44077</v>
      </c>
      <c r="D135" s="226">
        <f t="shared" si="37"/>
        <v>44098</v>
      </c>
      <c r="E135" s="54" t="s">
        <v>15</v>
      </c>
      <c r="F135" s="163">
        <v>9</v>
      </c>
      <c r="G135" s="205">
        <v>16</v>
      </c>
      <c r="H135" s="206">
        <f t="shared" si="25"/>
        <v>771.63</v>
      </c>
      <c r="I135" s="206">
        <f t="shared" si="39"/>
        <v>846.24</v>
      </c>
      <c r="J135" s="207">
        <f t="shared" si="36"/>
        <v>13539.84</v>
      </c>
      <c r="K135" s="214">
        <f t="shared" si="41"/>
        <v>12346.08</v>
      </c>
      <c r="L135" s="213">
        <f t="shared" si="40"/>
        <v>1193.7600000000002</v>
      </c>
      <c r="M135" s="210">
        <f t="shared" si="26"/>
        <v>40.20073191455748</v>
      </c>
      <c r="N135" s="211">
        <f t="shared" si="27"/>
        <v>1233.9607319145578</v>
      </c>
      <c r="O135" s="210">
        <v>0</v>
      </c>
      <c r="P135" s="210">
        <v>0</v>
      </c>
      <c r="Q135" s="210">
        <v>0</v>
      </c>
      <c r="R135" s="211">
        <f t="shared" si="28"/>
        <v>1233.9607319145578</v>
      </c>
    </row>
    <row r="136" spans="1:18" x14ac:dyDescent="0.25">
      <c r="A136" s="163">
        <v>9</v>
      </c>
      <c r="B136" s="202">
        <f t="shared" si="35"/>
        <v>44075</v>
      </c>
      <c r="C136" s="226">
        <f t="shared" si="37"/>
        <v>44109</v>
      </c>
      <c r="D136" s="226">
        <f t="shared" si="37"/>
        <v>44130</v>
      </c>
      <c r="E136" s="54" t="s">
        <v>15</v>
      </c>
      <c r="F136" s="163">
        <v>9</v>
      </c>
      <c r="G136" s="205">
        <v>6</v>
      </c>
      <c r="H136" s="206">
        <f t="shared" si="25"/>
        <v>771.63</v>
      </c>
      <c r="I136" s="206">
        <f t="shared" si="39"/>
        <v>846.24</v>
      </c>
      <c r="J136" s="207">
        <f t="shared" si="36"/>
        <v>5077.4400000000005</v>
      </c>
      <c r="K136" s="214">
        <f t="shared" si="41"/>
        <v>4629.78</v>
      </c>
      <c r="L136" s="213">
        <f t="shared" si="40"/>
        <v>447.66000000000076</v>
      </c>
      <c r="M136" s="210">
        <f t="shared" si="26"/>
        <v>15.075274467959053</v>
      </c>
      <c r="N136" s="211">
        <f t="shared" si="27"/>
        <v>462.73527446795981</v>
      </c>
      <c r="O136" s="210">
        <v>0</v>
      </c>
      <c r="P136" s="210">
        <v>0</v>
      </c>
      <c r="Q136" s="210">
        <v>0</v>
      </c>
      <c r="R136" s="211">
        <f t="shared" si="28"/>
        <v>462.73527446795981</v>
      </c>
    </row>
    <row r="137" spans="1:18" x14ac:dyDescent="0.25">
      <c r="A137" s="125">
        <v>10</v>
      </c>
      <c r="B137" s="202">
        <f t="shared" si="35"/>
        <v>44105</v>
      </c>
      <c r="C137" s="226">
        <f t="shared" si="37"/>
        <v>44139</v>
      </c>
      <c r="D137" s="226">
        <f t="shared" si="37"/>
        <v>44159</v>
      </c>
      <c r="E137" s="54" t="s">
        <v>15</v>
      </c>
      <c r="F137" s="163">
        <v>9</v>
      </c>
      <c r="G137" s="205">
        <v>7</v>
      </c>
      <c r="H137" s="206">
        <f t="shared" si="25"/>
        <v>771.63</v>
      </c>
      <c r="I137" s="206">
        <f t="shared" si="39"/>
        <v>846.24</v>
      </c>
      <c r="J137" s="207">
        <f t="shared" si="36"/>
        <v>5923.68</v>
      </c>
      <c r="K137" s="214">
        <f t="shared" si="41"/>
        <v>5401.41</v>
      </c>
      <c r="L137" s="213">
        <f t="shared" si="40"/>
        <v>522.27000000000044</v>
      </c>
      <c r="M137" s="210">
        <f t="shared" si="26"/>
        <v>17.587820212618897</v>
      </c>
      <c r="N137" s="211">
        <f t="shared" si="27"/>
        <v>539.85782021261934</v>
      </c>
      <c r="O137" s="210">
        <v>0</v>
      </c>
      <c r="P137" s="210">
        <v>0</v>
      </c>
      <c r="Q137" s="210">
        <v>0</v>
      </c>
      <c r="R137" s="211">
        <f t="shared" si="28"/>
        <v>539.85782021261934</v>
      </c>
    </row>
    <row r="138" spans="1:18" x14ac:dyDescent="0.25">
      <c r="A138" s="163">
        <v>11</v>
      </c>
      <c r="B138" s="202">
        <f t="shared" si="35"/>
        <v>44136</v>
      </c>
      <c r="C138" s="226">
        <f t="shared" si="37"/>
        <v>44168</v>
      </c>
      <c r="D138" s="226">
        <f t="shared" si="37"/>
        <v>44189</v>
      </c>
      <c r="E138" s="54" t="s">
        <v>15</v>
      </c>
      <c r="F138" s="163">
        <v>9</v>
      </c>
      <c r="G138" s="205">
        <v>6</v>
      </c>
      <c r="H138" s="206">
        <f t="shared" si="25"/>
        <v>771.63</v>
      </c>
      <c r="I138" s="206">
        <f t="shared" si="39"/>
        <v>846.24</v>
      </c>
      <c r="J138" s="207">
        <f t="shared" si="36"/>
        <v>5077.4400000000005</v>
      </c>
      <c r="K138" s="214">
        <f t="shared" si="41"/>
        <v>4629.78</v>
      </c>
      <c r="L138" s="213">
        <f t="shared" si="40"/>
        <v>447.66000000000076</v>
      </c>
      <c r="M138" s="210">
        <f t="shared" si="26"/>
        <v>15.075274467959053</v>
      </c>
      <c r="N138" s="211">
        <f t="shared" si="27"/>
        <v>462.73527446795981</v>
      </c>
      <c r="O138" s="210">
        <v>0</v>
      </c>
      <c r="P138" s="210">
        <v>0</v>
      </c>
      <c r="Q138" s="210">
        <v>0</v>
      </c>
      <c r="R138" s="211">
        <f t="shared" si="28"/>
        <v>462.73527446795981</v>
      </c>
    </row>
    <row r="139" spans="1:18" s="230" customFormat="1" x14ac:dyDescent="0.25">
      <c r="A139" s="163">
        <v>12</v>
      </c>
      <c r="B139" s="228">
        <f t="shared" si="35"/>
        <v>44166</v>
      </c>
      <c r="C139" s="226">
        <f t="shared" si="37"/>
        <v>44202</v>
      </c>
      <c r="D139" s="226">
        <f t="shared" si="37"/>
        <v>44221</v>
      </c>
      <c r="E139" s="229" t="s">
        <v>15</v>
      </c>
      <c r="F139" s="174">
        <v>9</v>
      </c>
      <c r="G139" s="217">
        <v>8</v>
      </c>
      <c r="H139" s="218">
        <f t="shared" si="25"/>
        <v>771.63</v>
      </c>
      <c r="I139" s="218">
        <f t="shared" si="39"/>
        <v>846.24</v>
      </c>
      <c r="J139" s="219">
        <f t="shared" si="36"/>
        <v>6769.92</v>
      </c>
      <c r="K139" s="220">
        <f t="shared" si="41"/>
        <v>6173.04</v>
      </c>
      <c r="L139" s="221">
        <f t="shared" si="40"/>
        <v>596.88000000000011</v>
      </c>
      <c r="M139" s="210">
        <f t="shared" si="26"/>
        <v>20.10036595727874</v>
      </c>
      <c r="N139" s="211">
        <f t="shared" si="27"/>
        <v>616.98036595727888</v>
      </c>
      <c r="O139" s="210">
        <v>0</v>
      </c>
      <c r="P139" s="210">
        <v>0</v>
      </c>
      <c r="Q139" s="210">
        <v>0</v>
      </c>
      <c r="R139" s="211">
        <f t="shared" si="28"/>
        <v>616.98036595727888</v>
      </c>
    </row>
    <row r="140" spans="1:18" x14ac:dyDescent="0.25">
      <c r="A140" s="125">
        <v>1</v>
      </c>
      <c r="B140" s="202">
        <f t="shared" si="35"/>
        <v>43831</v>
      </c>
      <c r="C140" s="223">
        <f t="shared" ref="C140:D151" si="42">+C128</f>
        <v>43866</v>
      </c>
      <c r="D140" s="223">
        <f t="shared" si="42"/>
        <v>43885</v>
      </c>
      <c r="E140" s="233" t="s">
        <v>16</v>
      </c>
      <c r="F140" s="163">
        <v>9</v>
      </c>
      <c r="G140" s="205">
        <v>2</v>
      </c>
      <c r="H140" s="206">
        <f t="shared" si="25"/>
        <v>771.63</v>
      </c>
      <c r="I140" s="206">
        <f t="shared" si="39"/>
        <v>846.24</v>
      </c>
      <c r="J140" s="207">
        <f t="shared" si="36"/>
        <v>1692.48</v>
      </c>
      <c r="K140" s="208">
        <f t="shared" si="41"/>
        <v>1543.26</v>
      </c>
      <c r="L140" s="209">
        <f t="shared" si="40"/>
        <v>149.22000000000003</v>
      </c>
      <c r="M140" s="210">
        <f t="shared" si="26"/>
        <v>5.025091489319685</v>
      </c>
      <c r="N140" s="211">
        <f t="shared" si="27"/>
        <v>154.24509148931972</v>
      </c>
      <c r="O140" s="210">
        <v>0</v>
      </c>
      <c r="P140" s="210">
        <v>0</v>
      </c>
      <c r="Q140" s="210">
        <v>0</v>
      </c>
      <c r="R140" s="211">
        <f t="shared" si="28"/>
        <v>154.24509148931972</v>
      </c>
    </row>
    <row r="141" spans="1:18" x14ac:dyDescent="0.25">
      <c r="A141" s="163">
        <v>2</v>
      </c>
      <c r="B141" s="202">
        <f t="shared" si="35"/>
        <v>43862</v>
      </c>
      <c r="C141" s="226">
        <f t="shared" si="42"/>
        <v>43894</v>
      </c>
      <c r="D141" s="226">
        <f t="shared" si="42"/>
        <v>43914</v>
      </c>
      <c r="E141" s="54" t="s">
        <v>16</v>
      </c>
      <c r="F141" s="163">
        <v>9</v>
      </c>
      <c r="G141" s="205">
        <v>3</v>
      </c>
      <c r="H141" s="206">
        <f t="shared" si="25"/>
        <v>771.63</v>
      </c>
      <c r="I141" s="206">
        <f t="shared" si="39"/>
        <v>846.24</v>
      </c>
      <c r="J141" s="207">
        <f t="shared" si="36"/>
        <v>2538.7200000000003</v>
      </c>
      <c r="K141" s="208">
        <f t="shared" si="41"/>
        <v>2314.89</v>
      </c>
      <c r="L141" s="209">
        <f t="shared" si="40"/>
        <v>223.83000000000038</v>
      </c>
      <c r="M141" s="210">
        <f t="shared" si="26"/>
        <v>7.5376372339795266</v>
      </c>
      <c r="N141" s="211">
        <f t="shared" si="27"/>
        <v>231.36763723397991</v>
      </c>
      <c r="O141" s="210">
        <v>0</v>
      </c>
      <c r="P141" s="210">
        <v>0</v>
      </c>
      <c r="Q141" s="210">
        <v>0</v>
      </c>
      <c r="R141" s="211">
        <f t="shared" si="28"/>
        <v>231.36763723397991</v>
      </c>
    </row>
    <row r="142" spans="1:18" x14ac:dyDescent="0.25">
      <c r="A142" s="163">
        <v>3</v>
      </c>
      <c r="B142" s="202">
        <f t="shared" si="35"/>
        <v>43891</v>
      </c>
      <c r="C142" s="226">
        <f t="shared" si="42"/>
        <v>43924</v>
      </c>
      <c r="D142" s="226">
        <f t="shared" si="42"/>
        <v>43945</v>
      </c>
      <c r="E142" s="54" t="s">
        <v>16</v>
      </c>
      <c r="F142" s="163">
        <v>9</v>
      </c>
      <c r="G142" s="205">
        <v>1</v>
      </c>
      <c r="H142" s="206">
        <f t="shared" si="25"/>
        <v>771.63</v>
      </c>
      <c r="I142" s="206">
        <f t="shared" si="39"/>
        <v>846.24</v>
      </c>
      <c r="J142" s="207">
        <f t="shared" si="36"/>
        <v>846.24</v>
      </c>
      <c r="K142" s="208">
        <f t="shared" si="41"/>
        <v>771.63</v>
      </c>
      <c r="L142" s="209">
        <f>+J142-K142</f>
        <v>74.610000000000014</v>
      </c>
      <c r="M142" s="210">
        <f t="shared" si="26"/>
        <v>2.5125457446598425</v>
      </c>
      <c r="N142" s="211">
        <f t="shared" si="27"/>
        <v>77.12254574465986</v>
      </c>
      <c r="O142" s="210">
        <v>0</v>
      </c>
      <c r="P142" s="210">
        <v>0</v>
      </c>
      <c r="Q142" s="210">
        <v>0</v>
      </c>
      <c r="R142" s="211">
        <f t="shared" si="28"/>
        <v>77.12254574465986</v>
      </c>
    </row>
    <row r="143" spans="1:18" x14ac:dyDescent="0.25">
      <c r="A143" s="125">
        <v>4</v>
      </c>
      <c r="B143" s="202">
        <f t="shared" si="35"/>
        <v>43922</v>
      </c>
      <c r="C143" s="226">
        <f t="shared" si="42"/>
        <v>43956</v>
      </c>
      <c r="D143" s="226">
        <f t="shared" si="42"/>
        <v>43976</v>
      </c>
      <c r="E143" s="54" t="s">
        <v>16</v>
      </c>
      <c r="F143" s="163">
        <v>9</v>
      </c>
      <c r="G143" s="205">
        <v>2</v>
      </c>
      <c r="H143" s="206">
        <f t="shared" si="25"/>
        <v>771.63</v>
      </c>
      <c r="I143" s="206">
        <f t="shared" si="39"/>
        <v>846.24</v>
      </c>
      <c r="J143" s="207">
        <f t="shared" si="36"/>
        <v>1692.48</v>
      </c>
      <c r="K143" s="208">
        <f t="shared" si="41"/>
        <v>1543.26</v>
      </c>
      <c r="L143" s="209">
        <f t="shared" ref="L143:L153" si="43">+J143-K143</f>
        <v>149.22000000000003</v>
      </c>
      <c r="M143" s="210">
        <f t="shared" si="26"/>
        <v>5.025091489319685</v>
      </c>
      <c r="N143" s="211">
        <f t="shared" si="27"/>
        <v>154.24509148931972</v>
      </c>
      <c r="O143" s="210">
        <v>0</v>
      </c>
      <c r="P143" s="210">
        <v>0</v>
      </c>
      <c r="Q143" s="210">
        <v>0</v>
      </c>
      <c r="R143" s="211">
        <f t="shared" si="28"/>
        <v>154.24509148931972</v>
      </c>
    </row>
    <row r="144" spans="1:18" x14ac:dyDescent="0.25">
      <c r="A144" s="163">
        <v>5</v>
      </c>
      <c r="B144" s="202">
        <f t="shared" si="35"/>
        <v>43952</v>
      </c>
      <c r="C144" s="226">
        <f t="shared" si="42"/>
        <v>43985</v>
      </c>
      <c r="D144" s="226">
        <f t="shared" si="42"/>
        <v>44006</v>
      </c>
      <c r="E144" s="54" t="s">
        <v>16</v>
      </c>
      <c r="F144" s="163">
        <v>9</v>
      </c>
      <c r="G144" s="205">
        <v>2</v>
      </c>
      <c r="H144" s="206">
        <f t="shared" si="25"/>
        <v>771.63</v>
      </c>
      <c r="I144" s="206">
        <f t="shared" si="39"/>
        <v>846.24</v>
      </c>
      <c r="J144" s="207">
        <f t="shared" si="36"/>
        <v>1692.48</v>
      </c>
      <c r="K144" s="208">
        <f t="shared" si="41"/>
        <v>1543.26</v>
      </c>
      <c r="L144" s="209">
        <f t="shared" si="43"/>
        <v>149.22000000000003</v>
      </c>
      <c r="M144" s="210">
        <f t="shared" si="26"/>
        <v>5.025091489319685</v>
      </c>
      <c r="N144" s="211">
        <f t="shared" si="27"/>
        <v>154.24509148931972</v>
      </c>
      <c r="O144" s="210">
        <v>0</v>
      </c>
      <c r="P144" s="210">
        <v>0</v>
      </c>
      <c r="Q144" s="210">
        <v>0</v>
      </c>
      <c r="R144" s="211">
        <f t="shared" si="28"/>
        <v>154.24509148931972</v>
      </c>
    </row>
    <row r="145" spans="1:19" x14ac:dyDescent="0.25">
      <c r="A145" s="163">
        <v>6</v>
      </c>
      <c r="B145" s="202">
        <f t="shared" si="35"/>
        <v>43983</v>
      </c>
      <c r="C145" s="226">
        <f t="shared" si="42"/>
        <v>44015</v>
      </c>
      <c r="D145" s="226">
        <f t="shared" si="42"/>
        <v>44036</v>
      </c>
      <c r="E145" s="54" t="s">
        <v>16</v>
      </c>
      <c r="F145" s="163">
        <v>9</v>
      </c>
      <c r="G145" s="205">
        <v>4</v>
      </c>
      <c r="H145" s="206">
        <f t="shared" si="25"/>
        <v>771.63</v>
      </c>
      <c r="I145" s="206">
        <f t="shared" si="39"/>
        <v>846.24</v>
      </c>
      <c r="J145" s="207">
        <f t="shared" si="36"/>
        <v>3384.96</v>
      </c>
      <c r="K145" s="208">
        <f t="shared" si="41"/>
        <v>3086.52</v>
      </c>
      <c r="L145" s="213">
        <f t="shared" si="43"/>
        <v>298.44000000000005</v>
      </c>
      <c r="M145" s="210">
        <f t="shared" si="26"/>
        <v>10.05018297863937</v>
      </c>
      <c r="N145" s="211">
        <f t="shared" si="27"/>
        <v>308.49018297863944</v>
      </c>
      <c r="O145" s="210">
        <v>0</v>
      </c>
      <c r="P145" s="210">
        <v>0</v>
      </c>
      <c r="Q145" s="210">
        <v>0</v>
      </c>
      <c r="R145" s="211">
        <f t="shared" si="28"/>
        <v>308.49018297863944</v>
      </c>
    </row>
    <row r="146" spans="1:19" x14ac:dyDescent="0.25">
      <c r="A146" s="125">
        <v>7</v>
      </c>
      <c r="B146" s="202">
        <f t="shared" si="35"/>
        <v>44013</v>
      </c>
      <c r="C146" s="226">
        <f t="shared" si="42"/>
        <v>44048</v>
      </c>
      <c r="D146" s="226">
        <f t="shared" si="42"/>
        <v>44067</v>
      </c>
      <c r="E146" s="54" t="s">
        <v>16</v>
      </c>
      <c r="F146" s="163">
        <v>9</v>
      </c>
      <c r="G146" s="205">
        <v>6</v>
      </c>
      <c r="H146" s="206">
        <f t="shared" si="25"/>
        <v>771.63</v>
      </c>
      <c r="I146" s="206">
        <f t="shared" si="39"/>
        <v>846.24</v>
      </c>
      <c r="J146" s="207">
        <f t="shared" si="36"/>
        <v>5077.4400000000005</v>
      </c>
      <c r="K146" s="214">
        <f t="shared" si="41"/>
        <v>4629.78</v>
      </c>
      <c r="L146" s="213">
        <f t="shared" si="43"/>
        <v>447.66000000000076</v>
      </c>
      <c r="M146" s="210">
        <f t="shared" si="26"/>
        <v>15.075274467959053</v>
      </c>
      <c r="N146" s="211">
        <f t="shared" si="27"/>
        <v>462.73527446795981</v>
      </c>
      <c r="O146" s="210">
        <v>0</v>
      </c>
      <c r="P146" s="210">
        <v>0</v>
      </c>
      <c r="Q146" s="210">
        <v>0</v>
      </c>
      <c r="R146" s="211">
        <f t="shared" si="28"/>
        <v>462.73527446795981</v>
      </c>
    </row>
    <row r="147" spans="1:19" x14ac:dyDescent="0.25">
      <c r="A147" s="163">
        <v>8</v>
      </c>
      <c r="B147" s="202">
        <f t="shared" si="35"/>
        <v>44044</v>
      </c>
      <c r="C147" s="226">
        <f t="shared" si="42"/>
        <v>44077</v>
      </c>
      <c r="D147" s="226">
        <f t="shared" si="42"/>
        <v>44098</v>
      </c>
      <c r="E147" s="54" t="s">
        <v>16</v>
      </c>
      <c r="F147" s="163">
        <v>9</v>
      </c>
      <c r="G147" s="205">
        <v>5</v>
      </c>
      <c r="H147" s="206">
        <f t="shared" si="25"/>
        <v>771.63</v>
      </c>
      <c r="I147" s="206">
        <f t="shared" si="39"/>
        <v>846.24</v>
      </c>
      <c r="J147" s="207">
        <f t="shared" si="36"/>
        <v>4231.2</v>
      </c>
      <c r="K147" s="214">
        <f t="shared" si="41"/>
        <v>3858.15</v>
      </c>
      <c r="L147" s="213">
        <f t="shared" si="43"/>
        <v>373.04999999999973</v>
      </c>
      <c r="M147" s="210">
        <f t="shared" si="26"/>
        <v>12.562728723299212</v>
      </c>
      <c r="N147" s="211">
        <f t="shared" si="27"/>
        <v>385.61272872329891</v>
      </c>
      <c r="O147" s="210">
        <v>0</v>
      </c>
      <c r="P147" s="210">
        <v>0</v>
      </c>
      <c r="Q147" s="210">
        <v>0</v>
      </c>
      <c r="R147" s="211">
        <f t="shared" si="28"/>
        <v>385.61272872329891</v>
      </c>
    </row>
    <row r="148" spans="1:19" x14ac:dyDescent="0.25">
      <c r="A148" s="163">
        <v>9</v>
      </c>
      <c r="B148" s="202">
        <f t="shared" si="35"/>
        <v>44075</v>
      </c>
      <c r="C148" s="226">
        <f t="shared" si="42"/>
        <v>44109</v>
      </c>
      <c r="D148" s="226">
        <f t="shared" si="42"/>
        <v>44130</v>
      </c>
      <c r="E148" s="54" t="s">
        <v>16</v>
      </c>
      <c r="F148" s="163">
        <v>9</v>
      </c>
      <c r="G148" s="205">
        <v>2</v>
      </c>
      <c r="H148" s="206">
        <f t="shared" si="25"/>
        <v>771.63</v>
      </c>
      <c r="I148" s="206">
        <f t="shared" ref="I148:I179" si="44">$J$3</f>
        <v>846.24</v>
      </c>
      <c r="J148" s="207">
        <f t="shared" si="36"/>
        <v>1692.48</v>
      </c>
      <c r="K148" s="214">
        <f t="shared" si="41"/>
        <v>1543.26</v>
      </c>
      <c r="L148" s="213">
        <f t="shared" si="43"/>
        <v>149.22000000000003</v>
      </c>
      <c r="M148" s="210">
        <f t="shared" si="26"/>
        <v>5.025091489319685</v>
      </c>
      <c r="N148" s="211">
        <f t="shared" si="27"/>
        <v>154.24509148931972</v>
      </c>
      <c r="O148" s="210">
        <v>0</v>
      </c>
      <c r="P148" s="210">
        <v>0</v>
      </c>
      <c r="Q148" s="210">
        <v>0</v>
      </c>
      <c r="R148" s="211">
        <f t="shared" si="28"/>
        <v>154.24509148931972</v>
      </c>
    </row>
    <row r="149" spans="1:19" x14ac:dyDescent="0.25">
      <c r="A149" s="125">
        <v>10</v>
      </c>
      <c r="B149" s="202">
        <f t="shared" ref="B149:B211" si="45">DATE($R$1,A149,1)</f>
        <v>44105</v>
      </c>
      <c r="C149" s="226">
        <f t="shared" si="42"/>
        <v>44139</v>
      </c>
      <c r="D149" s="226">
        <f t="shared" si="42"/>
        <v>44159</v>
      </c>
      <c r="E149" s="54" t="s">
        <v>16</v>
      </c>
      <c r="F149" s="163">
        <v>9</v>
      </c>
      <c r="G149" s="205">
        <v>1</v>
      </c>
      <c r="H149" s="206">
        <f t="shared" ref="H149:H211" si="46">+$K$3</f>
        <v>771.63</v>
      </c>
      <c r="I149" s="206">
        <f t="shared" si="44"/>
        <v>846.24</v>
      </c>
      <c r="J149" s="207">
        <f t="shared" ref="J149:J211" si="47">+$G149*I149</f>
        <v>846.24</v>
      </c>
      <c r="K149" s="214">
        <f t="shared" si="41"/>
        <v>771.63</v>
      </c>
      <c r="L149" s="213">
        <f t="shared" si="43"/>
        <v>74.610000000000014</v>
      </c>
      <c r="M149" s="210">
        <f t="shared" ref="M149:M211" si="48">G149/$G$212*$M$14</f>
        <v>2.5125457446598425</v>
      </c>
      <c r="N149" s="211">
        <f t="shared" ref="N149:N211" si="49">SUM(L149:M149)</f>
        <v>77.12254574465986</v>
      </c>
      <c r="O149" s="210">
        <v>0</v>
      </c>
      <c r="P149" s="210">
        <v>0</v>
      </c>
      <c r="Q149" s="210">
        <v>0</v>
      </c>
      <c r="R149" s="211">
        <f t="shared" ref="R149:R211" si="50">+N149-Q149</f>
        <v>77.12254574465986</v>
      </c>
    </row>
    <row r="150" spans="1:19" x14ac:dyDescent="0.25">
      <c r="A150" s="163">
        <v>11</v>
      </c>
      <c r="B150" s="202">
        <f t="shared" si="45"/>
        <v>44136</v>
      </c>
      <c r="C150" s="226">
        <f t="shared" si="42"/>
        <v>44168</v>
      </c>
      <c r="D150" s="226">
        <f t="shared" si="42"/>
        <v>44189</v>
      </c>
      <c r="E150" s="54" t="s">
        <v>16</v>
      </c>
      <c r="F150" s="163">
        <v>9</v>
      </c>
      <c r="G150" s="205">
        <v>3</v>
      </c>
      <c r="H150" s="206">
        <f t="shared" si="46"/>
        <v>771.63</v>
      </c>
      <c r="I150" s="206">
        <f t="shared" si="44"/>
        <v>846.24</v>
      </c>
      <c r="J150" s="207">
        <f t="shared" si="47"/>
        <v>2538.7200000000003</v>
      </c>
      <c r="K150" s="214">
        <f t="shared" si="41"/>
        <v>2314.89</v>
      </c>
      <c r="L150" s="213">
        <f t="shared" si="43"/>
        <v>223.83000000000038</v>
      </c>
      <c r="M150" s="210">
        <f t="shared" si="48"/>
        <v>7.5376372339795266</v>
      </c>
      <c r="N150" s="211">
        <f t="shared" si="49"/>
        <v>231.36763723397991</v>
      </c>
      <c r="O150" s="210">
        <v>0</v>
      </c>
      <c r="P150" s="210">
        <v>0</v>
      </c>
      <c r="Q150" s="210">
        <v>0</v>
      </c>
      <c r="R150" s="211">
        <f t="shared" si="50"/>
        <v>231.36763723397991</v>
      </c>
    </row>
    <row r="151" spans="1:19" s="230" customFormat="1" x14ac:dyDescent="0.25">
      <c r="A151" s="163">
        <v>12</v>
      </c>
      <c r="B151" s="228">
        <f t="shared" si="45"/>
        <v>44166</v>
      </c>
      <c r="C151" s="226">
        <f t="shared" si="42"/>
        <v>44202</v>
      </c>
      <c r="D151" s="226">
        <f t="shared" si="42"/>
        <v>44221</v>
      </c>
      <c r="E151" s="229" t="s">
        <v>16</v>
      </c>
      <c r="F151" s="174">
        <v>9</v>
      </c>
      <c r="G151" s="217">
        <v>1</v>
      </c>
      <c r="H151" s="218">
        <f t="shared" si="46"/>
        <v>771.63</v>
      </c>
      <c r="I151" s="218">
        <f t="shared" si="44"/>
        <v>846.24</v>
      </c>
      <c r="J151" s="219">
        <f t="shared" si="47"/>
        <v>846.24</v>
      </c>
      <c r="K151" s="220">
        <f t="shared" si="41"/>
        <v>771.63</v>
      </c>
      <c r="L151" s="221">
        <f t="shared" si="43"/>
        <v>74.610000000000014</v>
      </c>
      <c r="M151" s="210">
        <f t="shared" si="48"/>
        <v>2.5125457446598425</v>
      </c>
      <c r="N151" s="211">
        <f t="shared" si="49"/>
        <v>77.12254574465986</v>
      </c>
      <c r="O151" s="210">
        <v>0</v>
      </c>
      <c r="P151" s="210">
        <v>0</v>
      </c>
      <c r="Q151" s="210">
        <v>0</v>
      </c>
      <c r="R151" s="211">
        <f t="shared" si="50"/>
        <v>77.12254574465986</v>
      </c>
    </row>
    <row r="152" spans="1:19" x14ac:dyDescent="0.25">
      <c r="A152" s="125">
        <v>1</v>
      </c>
      <c r="B152" s="202">
        <f t="shared" si="45"/>
        <v>43831</v>
      </c>
      <c r="C152" s="223">
        <f t="shared" ref="C152:D171" si="51">+C140</f>
        <v>43866</v>
      </c>
      <c r="D152" s="223">
        <f t="shared" si="51"/>
        <v>43885</v>
      </c>
      <c r="E152" s="233" t="s">
        <v>54</v>
      </c>
      <c r="F152" s="125">
        <v>9</v>
      </c>
      <c r="G152" s="205">
        <v>109</v>
      </c>
      <c r="H152" s="206">
        <f t="shared" si="46"/>
        <v>771.63</v>
      </c>
      <c r="I152" s="206">
        <f t="shared" si="44"/>
        <v>846.24</v>
      </c>
      <c r="J152" s="207">
        <f t="shared" si="47"/>
        <v>92240.16</v>
      </c>
      <c r="K152" s="208">
        <f t="shared" si="41"/>
        <v>84107.67</v>
      </c>
      <c r="L152" s="209">
        <f t="shared" si="43"/>
        <v>8132.4900000000052</v>
      </c>
      <c r="M152" s="210">
        <f t="shared" si="48"/>
        <v>273.86748616792278</v>
      </c>
      <c r="N152" s="211">
        <f t="shared" si="49"/>
        <v>8406.3574861679281</v>
      </c>
      <c r="O152" s="210">
        <v>0</v>
      </c>
      <c r="P152" s="210">
        <v>0</v>
      </c>
      <c r="Q152" s="210">
        <v>0</v>
      </c>
      <c r="R152" s="211">
        <f t="shared" si="50"/>
        <v>8406.3574861679281</v>
      </c>
    </row>
    <row r="153" spans="1:19" x14ac:dyDescent="0.25">
      <c r="A153" s="163">
        <v>2</v>
      </c>
      <c r="B153" s="202">
        <f t="shared" si="45"/>
        <v>43862</v>
      </c>
      <c r="C153" s="226">
        <f t="shared" si="51"/>
        <v>43894</v>
      </c>
      <c r="D153" s="226">
        <f t="shared" si="51"/>
        <v>43914</v>
      </c>
      <c r="E153" s="234" t="s">
        <v>54</v>
      </c>
      <c r="F153" s="163">
        <v>9</v>
      </c>
      <c r="G153" s="205">
        <v>104</v>
      </c>
      <c r="H153" s="206">
        <f t="shared" si="46"/>
        <v>771.63</v>
      </c>
      <c r="I153" s="206">
        <f t="shared" si="44"/>
        <v>846.24</v>
      </c>
      <c r="J153" s="207">
        <f t="shared" si="47"/>
        <v>88008.960000000006</v>
      </c>
      <c r="K153" s="208">
        <f t="shared" si="41"/>
        <v>80249.52</v>
      </c>
      <c r="L153" s="209">
        <f t="shared" si="43"/>
        <v>7759.4400000000023</v>
      </c>
      <c r="M153" s="210">
        <f t="shared" si="48"/>
        <v>261.30475744462365</v>
      </c>
      <c r="N153" s="211">
        <f t="shared" si="49"/>
        <v>8020.744757444626</v>
      </c>
      <c r="O153" s="210">
        <v>0</v>
      </c>
      <c r="P153" s="210">
        <v>0</v>
      </c>
      <c r="Q153" s="210">
        <v>0</v>
      </c>
      <c r="R153" s="211">
        <f t="shared" si="50"/>
        <v>8020.744757444626</v>
      </c>
    </row>
    <row r="154" spans="1:19" x14ac:dyDescent="0.25">
      <c r="A154" s="163">
        <v>3</v>
      </c>
      <c r="B154" s="202">
        <f t="shared" si="45"/>
        <v>43891</v>
      </c>
      <c r="C154" s="226">
        <f t="shared" si="51"/>
        <v>43924</v>
      </c>
      <c r="D154" s="226">
        <f t="shared" si="51"/>
        <v>43945</v>
      </c>
      <c r="E154" s="234" t="s">
        <v>54</v>
      </c>
      <c r="F154" s="163">
        <v>9</v>
      </c>
      <c r="G154" s="205">
        <v>87</v>
      </c>
      <c r="H154" s="206">
        <f t="shared" si="46"/>
        <v>771.63</v>
      </c>
      <c r="I154" s="206">
        <f t="shared" si="44"/>
        <v>846.24</v>
      </c>
      <c r="J154" s="207">
        <f t="shared" si="47"/>
        <v>73622.880000000005</v>
      </c>
      <c r="K154" s="208">
        <f t="shared" si="41"/>
        <v>67131.81</v>
      </c>
      <c r="L154" s="209">
        <f>+J154-K154</f>
        <v>6491.070000000007</v>
      </c>
      <c r="M154" s="210">
        <f t="shared" si="48"/>
        <v>218.59147978540628</v>
      </c>
      <c r="N154" s="211">
        <f t="shared" si="49"/>
        <v>6709.6614797854136</v>
      </c>
      <c r="O154" s="210">
        <v>0</v>
      </c>
      <c r="P154" s="210">
        <v>0</v>
      </c>
      <c r="Q154" s="210">
        <v>0</v>
      </c>
      <c r="R154" s="211">
        <f t="shared" si="50"/>
        <v>6709.6614797854136</v>
      </c>
    </row>
    <row r="155" spans="1:19" x14ac:dyDescent="0.25">
      <c r="A155" s="125">
        <v>4</v>
      </c>
      <c r="B155" s="202">
        <f t="shared" si="45"/>
        <v>43922</v>
      </c>
      <c r="C155" s="226">
        <f t="shared" si="51"/>
        <v>43956</v>
      </c>
      <c r="D155" s="226">
        <f t="shared" si="51"/>
        <v>43976</v>
      </c>
      <c r="E155" s="234" t="s">
        <v>54</v>
      </c>
      <c r="F155" s="163">
        <v>9</v>
      </c>
      <c r="G155" s="205">
        <v>102</v>
      </c>
      <c r="H155" s="206">
        <f t="shared" si="46"/>
        <v>771.63</v>
      </c>
      <c r="I155" s="206">
        <f t="shared" si="44"/>
        <v>846.24</v>
      </c>
      <c r="J155" s="207">
        <f t="shared" si="47"/>
        <v>86316.479999999996</v>
      </c>
      <c r="K155" s="208">
        <f t="shared" si="41"/>
        <v>78706.259999999995</v>
      </c>
      <c r="L155" s="209">
        <f t="shared" ref="L155:L165" si="52">+J155-K155</f>
        <v>7610.2200000000012</v>
      </c>
      <c r="M155" s="210">
        <f t="shared" si="48"/>
        <v>256.27966595530393</v>
      </c>
      <c r="N155" s="211">
        <f t="shared" si="49"/>
        <v>7866.4996659553053</v>
      </c>
      <c r="O155" s="210">
        <v>0</v>
      </c>
      <c r="P155" s="210">
        <v>0</v>
      </c>
      <c r="Q155" s="210">
        <v>0</v>
      </c>
      <c r="R155" s="211">
        <f t="shared" si="50"/>
        <v>7866.4996659553053</v>
      </c>
    </row>
    <row r="156" spans="1:19" x14ac:dyDescent="0.25">
      <c r="A156" s="163">
        <v>5</v>
      </c>
      <c r="B156" s="202">
        <f t="shared" si="45"/>
        <v>43952</v>
      </c>
      <c r="C156" s="226">
        <f t="shared" si="51"/>
        <v>43985</v>
      </c>
      <c r="D156" s="226">
        <f t="shared" si="51"/>
        <v>44006</v>
      </c>
      <c r="E156" s="234" t="s">
        <v>54</v>
      </c>
      <c r="F156" s="163">
        <v>9</v>
      </c>
      <c r="G156" s="205">
        <v>92</v>
      </c>
      <c r="H156" s="206">
        <f t="shared" si="46"/>
        <v>771.63</v>
      </c>
      <c r="I156" s="206">
        <f t="shared" si="44"/>
        <v>846.24</v>
      </c>
      <c r="J156" s="207">
        <f t="shared" si="47"/>
        <v>77854.080000000002</v>
      </c>
      <c r="K156" s="208">
        <f t="shared" si="41"/>
        <v>70989.960000000006</v>
      </c>
      <c r="L156" s="209">
        <f t="shared" si="52"/>
        <v>6864.1199999999953</v>
      </c>
      <c r="M156" s="210">
        <f t="shared" si="48"/>
        <v>231.15420850870549</v>
      </c>
      <c r="N156" s="211">
        <f t="shared" si="49"/>
        <v>7095.2742085087011</v>
      </c>
      <c r="O156" s="210">
        <v>0</v>
      </c>
      <c r="P156" s="210">
        <v>0</v>
      </c>
      <c r="Q156" s="210">
        <v>0</v>
      </c>
      <c r="R156" s="211">
        <f t="shared" si="50"/>
        <v>7095.2742085087011</v>
      </c>
    </row>
    <row r="157" spans="1:19" x14ac:dyDescent="0.25">
      <c r="A157" s="163">
        <v>6</v>
      </c>
      <c r="B157" s="202">
        <f t="shared" si="45"/>
        <v>43983</v>
      </c>
      <c r="C157" s="226">
        <f t="shared" si="51"/>
        <v>44015</v>
      </c>
      <c r="D157" s="226">
        <f t="shared" si="51"/>
        <v>44036</v>
      </c>
      <c r="E157" s="234" t="s">
        <v>54</v>
      </c>
      <c r="F157" s="163">
        <v>9</v>
      </c>
      <c r="G157" s="205">
        <v>143</v>
      </c>
      <c r="H157" s="206">
        <f t="shared" si="46"/>
        <v>771.63</v>
      </c>
      <c r="I157" s="206">
        <f t="shared" si="44"/>
        <v>846.24</v>
      </c>
      <c r="J157" s="207">
        <f t="shared" si="47"/>
        <v>121012.32</v>
      </c>
      <c r="K157" s="208">
        <f t="shared" si="41"/>
        <v>110343.09</v>
      </c>
      <c r="L157" s="213">
        <f t="shared" si="52"/>
        <v>10669.23000000001</v>
      </c>
      <c r="M157" s="210">
        <f t="shared" si="48"/>
        <v>359.29404148635746</v>
      </c>
      <c r="N157" s="211">
        <f t="shared" si="49"/>
        <v>11028.524041486367</v>
      </c>
      <c r="O157" s="210">
        <v>0</v>
      </c>
      <c r="P157" s="210">
        <v>0</v>
      </c>
      <c r="Q157" s="210">
        <v>0</v>
      </c>
      <c r="R157" s="211">
        <f t="shared" si="50"/>
        <v>11028.524041486367</v>
      </c>
    </row>
    <row r="158" spans="1:19" x14ac:dyDescent="0.25">
      <c r="A158" s="125">
        <v>7</v>
      </c>
      <c r="B158" s="202">
        <f t="shared" si="45"/>
        <v>44013</v>
      </c>
      <c r="C158" s="226">
        <f t="shared" si="51"/>
        <v>44048</v>
      </c>
      <c r="D158" s="226">
        <f t="shared" si="51"/>
        <v>44067</v>
      </c>
      <c r="E158" s="234" t="s">
        <v>54</v>
      </c>
      <c r="F158" s="163">
        <v>9</v>
      </c>
      <c r="G158" s="205">
        <v>138</v>
      </c>
      <c r="H158" s="206">
        <f t="shared" si="46"/>
        <v>771.63</v>
      </c>
      <c r="I158" s="206">
        <f t="shared" si="44"/>
        <v>846.24</v>
      </c>
      <c r="J158" s="207">
        <f t="shared" si="47"/>
        <v>116781.12</v>
      </c>
      <c r="K158" s="214">
        <f t="shared" si="41"/>
        <v>106484.94</v>
      </c>
      <c r="L158" s="213">
        <f t="shared" si="52"/>
        <v>10296.179999999993</v>
      </c>
      <c r="M158" s="210">
        <f t="shared" si="48"/>
        <v>346.73131276305821</v>
      </c>
      <c r="N158" s="211">
        <f t="shared" si="49"/>
        <v>10642.911312763052</v>
      </c>
      <c r="O158" s="210">
        <v>0</v>
      </c>
      <c r="P158" s="210">
        <v>0</v>
      </c>
      <c r="Q158" s="210">
        <v>0</v>
      </c>
      <c r="R158" s="211">
        <f t="shared" si="50"/>
        <v>10642.911312763052</v>
      </c>
    </row>
    <row r="159" spans="1:19" x14ac:dyDescent="0.25">
      <c r="A159" s="163">
        <v>8</v>
      </c>
      <c r="B159" s="202">
        <f t="shared" si="45"/>
        <v>44044</v>
      </c>
      <c r="C159" s="226">
        <f t="shared" si="51"/>
        <v>44077</v>
      </c>
      <c r="D159" s="226">
        <f t="shared" si="51"/>
        <v>44098</v>
      </c>
      <c r="E159" s="234" t="s">
        <v>54</v>
      </c>
      <c r="F159" s="125">
        <v>9</v>
      </c>
      <c r="G159" s="205">
        <v>152</v>
      </c>
      <c r="H159" s="206">
        <f t="shared" si="46"/>
        <v>771.63</v>
      </c>
      <c r="I159" s="206">
        <f t="shared" si="44"/>
        <v>846.24</v>
      </c>
      <c r="J159" s="207">
        <f t="shared" si="47"/>
        <v>128628.48</v>
      </c>
      <c r="K159" s="214">
        <f t="shared" si="41"/>
        <v>117287.76</v>
      </c>
      <c r="L159" s="213">
        <f t="shared" si="52"/>
        <v>11340.720000000001</v>
      </c>
      <c r="M159" s="210">
        <f t="shared" si="48"/>
        <v>381.90695318829609</v>
      </c>
      <c r="N159" s="211">
        <f t="shared" si="49"/>
        <v>11722.626953188297</v>
      </c>
      <c r="O159" s="210">
        <v>0</v>
      </c>
      <c r="P159" s="210">
        <v>0</v>
      </c>
      <c r="Q159" s="210">
        <v>0</v>
      </c>
      <c r="R159" s="211">
        <f t="shared" si="50"/>
        <v>11722.626953188297</v>
      </c>
      <c r="S159" s="52"/>
    </row>
    <row r="160" spans="1:19" x14ac:dyDescent="0.25">
      <c r="A160" s="163">
        <v>9</v>
      </c>
      <c r="B160" s="202">
        <f t="shared" si="45"/>
        <v>44075</v>
      </c>
      <c r="C160" s="226">
        <f t="shared" si="51"/>
        <v>44109</v>
      </c>
      <c r="D160" s="226">
        <f t="shared" si="51"/>
        <v>44130</v>
      </c>
      <c r="E160" s="234" t="s">
        <v>54</v>
      </c>
      <c r="F160" s="125">
        <v>9</v>
      </c>
      <c r="G160" s="205">
        <v>136</v>
      </c>
      <c r="H160" s="206">
        <f t="shared" si="46"/>
        <v>771.63</v>
      </c>
      <c r="I160" s="206">
        <f t="shared" si="44"/>
        <v>846.24</v>
      </c>
      <c r="J160" s="207">
        <f t="shared" si="47"/>
        <v>115088.64</v>
      </c>
      <c r="K160" s="214">
        <f t="shared" si="41"/>
        <v>104941.68</v>
      </c>
      <c r="L160" s="213">
        <f t="shared" si="52"/>
        <v>10146.960000000006</v>
      </c>
      <c r="M160" s="210">
        <f t="shared" si="48"/>
        <v>341.70622127373861</v>
      </c>
      <c r="N160" s="211">
        <f t="shared" si="49"/>
        <v>10488.666221273745</v>
      </c>
      <c r="O160" s="210">
        <v>0</v>
      </c>
      <c r="P160" s="210">
        <v>0</v>
      </c>
      <c r="Q160" s="210">
        <v>0</v>
      </c>
      <c r="R160" s="211">
        <f t="shared" si="50"/>
        <v>10488.666221273745</v>
      </c>
    </row>
    <row r="161" spans="1:19" x14ac:dyDescent="0.25">
      <c r="A161" s="125">
        <v>10</v>
      </c>
      <c r="B161" s="202">
        <f t="shared" si="45"/>
        <v>44105</v>
      </c>
      <c r="C161" s="226">
        <f t="shared" si="51"/>
        <v>44139</v>
      </c>
      <c r="D161" s="226">
        <f t="shared" si="51"/>
        <v>44159</v>
      </c>
      <c r="E161" s="234" t="s">
        <v>54</v>
      </c>
      <c r="F161" s="125">
        <v>9</v>
      </c>
      <c r="G161" s="205">
        <v>107</v>
      </c>
      <c r="H161" s="206">
        <f t="shared" si="46"/>
        <v>771.63</v>
      </c>
      <c r="I161" s="206">
        <f t="shared" si="44"/>
        <v>846.24</v>
      </c>
      <c r="J161" s="207">
        <f t="shared" si="47"/>
        <v>90547.680000000008</v>
      </c>
      <c r="K161" s="214">
        <f t="shared" si="41"/>
        <v>82564.41</v>
      </c>
      <c r="L161" s="213">
        <f t="shared" si="52"/>
        <v>7983.2700000000041</v>
      </c>
      <c r="M161" s="210">
        <f t="shared" si="48"/>
        <v>268.84239467860317</v>
      </c>
      <c r="N161" s="211">
        <f t="shared" si="49"/>
        <v>8252.1123946786065</v>
      </c>
      <c r="O161" s="210">
        <v>0</v>
      </c>
      <c r="P161" s="210">
        <v>0</v>
      </c>
      <c r="Q161" s="210">
        <v>0</v>
      </c>
      <c r="R161" s="211">
        <f t="shared" si="50"/>
        <v>8252.1123946786065</v>
      </c>
    </row>
    <row r="162" spans="1:19" x14ac:dyDescent="0.25">
      <c r="A162" s="163">
        <v>11</v>
      </c>
      <c r="B162" s="202">
        <f t="shared" si="45"/>
        <v>44136</v>
      </c>
      <c r="C162" s="226">
        <f t="shared" si="51"/>
        <v>44168</v>
      </c>
      <c r="D162" s="226">
        <f t="shared" si="51"/>
        <v>44189</v>
      </c>
      <c r="E162" s="234" t="s">
        <v>54</v>
      </c>
      <c r="F162" s="125">
        <v>9</v>
      </c>
      <c r="G162" s="205">
        <v>95</v>
      </c>
      <c r="H162" s="206">
        <f t="shared" si="46"/>
        <v>771.63</v>
      </c>
      <c r="I162" s="206">
        <f t="shared" si="44"/>
        <v>846.24</v>
      </c>
      <c r="J162" s="207">
        <f t="shared" si="47"/>
        <v>80392.800000000003</v>
      </c>
      <c r="K162" s="214">
        <f t="shared" si="41"/>
        <v>73304.850000000006</v>
      </c>
      <c r="L162" s="213">
        <f t="shared" si="52"/>
        <v>7087.9499999999971</v>
      </c>
      <c r="M162" s="210">
        <f t="shared" si="48"/>
        <v>238.69184574268502</v>
      </c>
      <c r="N162" s="211">
        <f t="shared" si="49"/>
        <v>7326.6418457426826</v>
      </c>
      <c r="O162" s="210">
        <v>0</v>
      </c>
      <c r="P162" s="210">
        <v>0</v>
      </c>
      <c r="Q162" s="210">
        <v>0</v>
      </c>
      <c r="R162" s="211">
        <f t="shared" si="50"/>
        <v>7326.6418457426826</v>
      </c>
    </row>
    <row r="163" spans="1:19" s="230" customFormat="1" x14ac:dyDescent="0.25">
      <c r="A163" s="163">
        <v>12</v>
      </c>
      <c r="B163" s="228">
        <f t="shared" si="45"/>
        <v>44166</v>
      </c>
      <c r="C163" s="226">
        <f t="shared" si="51"/>
        <v>44202</v>
      </c>
      <c r="D163" s="226">
        <f t="shared" si="51"/>
        <v>44221</v>
      </c>
      <c r="E163" s="235" t="s">
        <v>54</v>
      </c>
      <c r="F163" s="174">
        <v>9</v>
      </c>
      <c r="G163" s="217">
        <v>99</v>
      </c>
      <c r="H163" s="218">
        <f t="shared" si="46"/>
        <v>771.63</v>
      </c>
      <c r="I163" s="218">
        <f t="shared" si="44"/>
        <v>846.24</v>
      </c>
      <c r="J163" s="219">
        <f t="shared" si="47"/>
        <v>83777.759999999995</v>
      </c>
      <c r="K163" s="220">
        <f t="shared" si="41"/>
        <v>76391.37</v>
      </c>
      <c r="L163" s="221">
        <f t="shared" si="52"/>
        <v>7386.3899999999994</v>
      </c>
      <c r="M163" s="210">
        <f t="shared" si="48"/>
        <v>248.7420287213244</v>
      </c>
      <c r="N163" s="211">
        <f t="shared" si="49"/>
        <v>7635.1320287213239</v>
      </c>
      <c r="O163" s="210">
        <v>0</v>
      </c>
      <c r="P163" s="210">
        <v>0</v>
      </c>
      <c r="Q163" s="210">
        <v>0</v>
      </c>
      <c r="R163" s="211">
        <f t="shared" si="50"/>
        <v>7635.1320287213239</v>
      </c>
    </row>
    <row r="164" spans="1:19" x14ac:dyDescent="0.25">
      <c r="A164" s="125">
        <v>1</v>
      </c>
      <c r="B164" s="202">
        <f t="shared" si="45"/>
        <v>43831</v>
      </c>
      <c r="C164" s="223">
        <f t="shared" si="51"/>
        <v>43866</v>
      </c>
      <c r="D164" s="223">
        <f t="shared" si="51"/>
        <v>43885</v>
      </c>
      <c r="E164" s="233" t="s">
        <v>55</v>
      </c>
      <c r="F164" s="125">
        <v>9</v>
      </c>
      <c r="G164" s="205">
        <v>11</v>
      </c>
      <c r="H164" s="206">
        <f t="shared" si="46"/>
        <v>771.63</v>
      </c>
      <c r="I164" s="206">
        <f t="shared" si="44"/>
        <v>846.24</v>
      </c>
      <c r="J164" s="207">
        <f t="shared" si="47"/>
        <v>9308.64</v>
      </c>
      <c r="K164" s="208">
        <f t="shared" si="41"/>
        <v>8487.93</v>
      </c>
      <c r="L164" s="209">
        <f t="shared" si="52"/>
        <v>820.70999999999913</v>
      </c>
      <c r="M164" s="210">
        <f t="shared" si="48"/>
        <v>27.638003191258267</v>
      </c>
      <c r="N164" s="211">
        <f t="shared" si="49"/>
        <v>848.34800319125736</v>
      </c>
      <c r="O164" s="210">
        <v>0</v>
      </c>
      <c r="P164" s="210">
        <v>0</v>
      </c>
      <c r="Q164" s="210">
        <v>0</v>
      </c>
      <c r="R164" s="211">
        <f t="shared" si="50"/>
        <v>848.34800319125736</v>
      </c>
    </row>
    <row r="165" spans="1:19" x14ac:dyDescent="0.25">
      <c r="A165" s="163">
        <v>2</v>
      </c>
      <c r="B165" s="202">
        <f t="shared" si="45"/>
        <v>43862</v>
      </c>
      <c r="C165" s="226">
        <f t="shared" si="51"/>
        <v>43894</v>
      </c>
      <c r="D165" s="226">
        <f t="shared" si="51"/>
        <v>43914</v>
      </c>
      <c r="E165" s="234" t="s">
        <v>55</v>
      </c>
      <c r="F165" s="163">
        <v>9</v>
      </c>
      <c r="G165" s="205">
        <v>10</v>
      </c>
      <c r="H165" s="206">
        <f t="shared" si="46"/>
        <v>771.63</v>
      </c>
      <c r="I165" s="206">
        <f t="shared" si="44"/>
        <v>846.24</v>
      </c>
      <c r="J165" s="207">
        <f t="shared" si="47"/>
        <v>8462.4</v>
      </c>
      <c r="K165" s="208">
        <f t="shared" si="41"/>
        <v>7716.3</v>
      </c>
      <c r="L165" s="209">
        <f t="shared" si="52"/>
        <v>746.09999999999945</v>
      </c>
      <c r="M165" s="210">
        <f t="shared" si="48"/>
        <v>25.125457446598425</v>
      </c>
      <c r="N165" s="211">
        <f t="shared" si="49"/>
        <v>771.22545744659783</v>
      </c>
      <c r="O165" s="210">
        <v>0</v>
      </c>
      <c r="P165" s="210">
        <v>0</v>
      </c>
      <c r="Q165" s="210">
        <v>0</v>
      </c>
      <c r="R165" s="211">
        <f t="shared" si="50"/>
        <v>771.22545744659783</v>
      </c>
    </row>
    <row r="166" spans="1:19" x14ac:dyDescent="0.25">
      <c r="A166" s="163">
        <v>3</v>
      </c>
      <c r="B166" s="202">
        <f t="shared" si="45"/>
        <v>43891</v>
      </c>
      <c r="C166" s="226">
        <f t="shared" si="51"/>
        <v>43924</v>
      </c>
      <c r="D166" s="226">
        <f t="shared" si="51"/>
        <v>43945</v>
      </c>
      <c r="E166" s="234" t="s">
        <v>55</v>
      </c>
      <c r="F166" s="163">
        <v>9</v>
      </c>
      <c r="G166" s="205">
        <v>10</v>
      </c>
      <c r="H166" s="206">
        <f t="shared" si="46"/>
        <v>771.63</v>
      </c>
      <c r="I166" s="206">
        <f t="shared" si="44"/>
        <v>846.24</v>
      </c>
      <c r="J166" s="207">
        <f t="shared" si="47"/>
        <v>8462.4</v>
      </c>
      <c r="K166" s="208">
        <f t="shared" si="41"/>
        <v>7716.3</v>
      </c>
      <c r="L166" s="209">
        <f>+J166-K166</f>
        <v>746.09999999999945</v>
      </c>
      <c r="M166" s="210">
        <f t="shared" si="48"/>
        <v>25.125457446598425</v>
      </c>
      <c r="N166" s="211">
        <f t="shared" si="49"/>
        <v>771.22545744659783</v>
      </c>
      <c r="O166" s="210">
        <v>0</v>
      </c>
      <c r="P166" s="210">
        <v>0</v>
      </c>
      <c r="Q166" s="210">
        <v>0</v>
      </c>
      <c r="R166" s="211">
        <f t="shared" si="50"/>
        <v>771.22545744659783</v>
      </c>
    </row>
    <row r="167" spans="1:19" x14ac:dyDescent="0.25">
      <c r="A167" s="125">
        <v>4</v>
      </c>
      <c r="B167" s="202">
        <f t="shared" si="45"/>
        <v>43922</v>
      </c>
      <c r="C167" s="226">
        <f t="shared" si="51"/>
        <v>43956</v>
      </c>
      <c r="D167" s="226">
        <f t="shared" si="51"/>
        <v>43976</v>
      </c>
      <c r="E167" s="234" t="s">
        <v>55</v>
      </c>
      <c r="F167" s="163">
        <v>9</v>
      </c>
      <c r="G167" s="205">
        <v>7</v>
      </c>
      <c r="H167" s="206">
        <f t="shared" si="46"/>
        <v>771.63</v>
      </c>
      <c r="I167" s="206">
        <f t="shared" si="44"/>
        <v>846.24</v>
      </c>
      <c r="J167" s="207">
        <f t="shared" si="47"/>
        <v>5923.68</v>
      </c>
      <c r="K167" s="208">
        <f t="shared" si="41"/>
        <v>5401.41</v>
      </c>
      <c r="L167" s="209">
        <f t="shared" ref="L167:L177" si="53">+J167-K167</f>
        <v>522.27000000000044</v>
      </c>
      <c r="M167" s="210">
        <f t="shared" si="48"/>
        <v>17.587820212618897</v>
      </c>
      <c r="N167" s="211">
        <f t="shared" si="49"/>
        <v>539.85782021261934</v>
      </c>
      <c r="O167" s="210">
        <v>0</v>
      </c>
      <c r="P167" s="210">
        <v>0</v>
      </c>
      <c r="Q167" s="210">
        <v>0</v>
      </c>
      <c r="R167" s="211">
        <f t="shared" si="50"/>
        <v>539.85782021261934</v>
      </c>
    </row>
    <row r="168" spans="1:19" x14ac:dyDescent="0.25">
      <c r="A168" s="163">
        <v>5</v>
      </c>
      <c r="B168" s="202">
        <f t="shared" si="45"/>
        <v>43952</v>
      </c>
      <c r="C168" s="226">
        <f t="shared" si="51"/>
        <v>43985</v>
      </c>
      <c r="D168" s="226">
        <f t="shared" si="51"/>
        <v>44006</v>
      </c>
      <c r="E168" s="234" t="s">
        <v>55</v>
      </c>
      <c r="F168" s="163">
        <v>9</v>
      </c>
      <c r="G168" s="205">
        <v>13</v>
      </c>
      <c r="H168" s="206">
        <f t="shared" si="46"/>
        <v>771.63</v>
      </c>
      <c r="I168" s="206">
        <f t="shared" si="44"/>
        <v>846.24</v>
      </c>
      <c r="J168" s="207">
        <f t="shared" si="47"/>
        <v>11001.12</v>
      </c>
      <c r="K168" s="208">
        <f t="shared" si="41"/>
        <v>10031.19</v>
      </c>
      <c r="L168" s="209">
        <f t="shared" si="53"/>
        <v>969.93000000000029</v>
      </c>
      <c r="M168" s="210">
        <f t="shared" si="48"/>
        <v>32.663094680577956</v>
      </c>
      <c r="N168" s="211">
        <f t="shared" si="49"/>
        <v>1002.5930946805782</v>
      </c>
      <c r="O168" s="210">
        <v>0</v>
      </c>
      <c r="P168" s="210">
        <v>0</v>
      </c>
      <c r="Q168" s="210">
        <v>0</v>
      </c>
      <c r="R168" s="211">
        <f t="shared" si="50"/>
        <v>1002.5930946805782</v>
      </c>
    </row>
    <row r="169" spans="1:19" x14ac:dyDescent="0.25">
      <c r="A169" s="163">
        <v>6</v>
      </c>
      <c r="B169" s="202">
        <f t="shared" si="45"/>
        <v>43983</v>
      </c>
      <c r="C169" s="226">
        <f t="shared" si="51"/>
        <v>44015</v>
      </c>
      <c r="D169" s="226">
        <f t="shared" si="51"/>
        <v>44036</v>
      </c>
      <c r="E169" s="234" t="s">
        <v>55</v>
      </c>
      <c r="F169" s="163">
        <v>9</v>
      </c>
      <c r="G169" s="205">
        <v>12</v>
      </c>
      <c r="H169" s="206">
        <f t="shared" si="46"/>
        <v>771.63</v>
      </c>
      <c r="I169" s="206">
        <f t="shared" si="44"/>
        <v>846.24</v>
      </c>
      <c r="J169" s="207">
        <f t="shared" si="47"/>
        <v>10154.880000000001</v>
      </c>
      <c r="K169" s="208">
        <f t="shared" si="41"/>
        <v>9259.56</v>
      </c>
      <c r="L169" s="213">
        <f t="shared" si="53"/>
        <v>895.32000000000153</v>
      </c>
      <c r="M169" s="210">
        <f t="shared" si="48"/>
        <v>30.150548935918106</v>
      </c>
      <c r="N169" s="211">
        <f t="shared" si="49"/>
        <v>925.47054893591962</v>
      </c>
      <c r="O169" s="210">
        <v>0</v>
      </c>
      <c r="P169" s="210">
        <v>0</v>
      </c>
      <c r="Q169" s="210">
        <v>0</v>
      </c>
      <c r="R169" s="211">
        <f t="shared" si="50"/>
        <v>925.47054893591962</v>
      </c>
    </row>
    <row r="170" spans="1:19" x14ac:dyDescent="0.25">
      <c r="A170" s="125">
        <v>7</v>
      </c>
      <c r="B170" s="202">
        <f t="shared" si="45"/>
        <v>44013</v>
      </c>
      <c r="C170" s="226">
        <f t="shared" si="51"/>
        <v>44048</v>
      </c>
      <c r="D170" s="226">
        <f t="shared" si="51"/>
        <v>44067</v>
      </c>
      <c r="E170" s="234" t="s">
        <v>55</v>
      </c>
      <c r="F170" s="163">
        <v>9</v>
      </c>
      <c r="G170" s="205">
        <v>15</v>
      </c>
      <c r="H170" s="206">
        <f t="shared" si="46"/>
        <v>771.63</v>
      </c>
      <c r="I170" s="206">
        <f t="shared" si="44"/>
        <v>846.24</v>
      </c>
      <c r="J170" s="207">
        <f t="shared" si="47"/>
        <v>12693.6</v>
      </c>
      <c r="K170" s="214">
        <f t="shared" si="41"/>
        <v>11574.45</v>
      </c>
      <c r="L170" s="213">
        <f t="shared" si="53"/>
        <v>1119.1499999999996</v>
      </c>
      <c r="M170" s="210">
        <f t="shared" si="48"/>
        <v>37.688186169897641</v>
      </c>
      <c r="N170" s="211">
        <f t="shared" si="49"/>
        <v>1156.8381861698972</v>
      </c>
      <c r="O170" s="210">
        <v>0</v>
      </c>
      <c r="P170" s="210">
        <v>0</v>
      </c>
      <c r="Q170" s="210">
        <v>0</v>
      </c>
      <c r="R170" s="211">
        <f t="shared" si="50"/>
        <v>1156.8381861698972</v>
      </c>
    </row>
    <row r="171" spans="1:19" x14ac:dyDescent="0.25">
      <c r="A171" s="163">
        <v>8</v>
      </c>
      <c r="B171" s="202">
        <f t="shared" si="45"/>
        <v>44044</v>
      </c>
      <c r="C171" s="226">
        <f t="shared" si="51"/>
        <v>44077</v>
      </c>
      <c r="D171" s="226">
        <f t="shared" si="51"/>
        <v>44098</v>
      </c>
      <c r="E171" s="234" t="s">
        <v>55</v>
      </c>
      <c r="F171" s="125">
        <v>9</v>
      </c>
      <c r="G171" s="205">
        <v>12</v>
      </c>
      <c r="H171" s="206">
        <f t="shared" si="46"/>
        <v>771.63</v>
      </c>
      <c r="I171" s="206">
        <f t="shared" si="44"/>
        <v>846.24</v>
      </c>
      <c r="J171" s="207">
        <f t="shared" si="47"/>
        <v>10154.880000000001</v>
      </c>
      <c r="K171" s="214">
        <f t="shared" si="41"/>
        <v>9259.56</v>
      </c>
      <c r="L171" s="213">
        <f t="shared" si="53"/>
        <v>895.32000000000153</v>
      </c>
      <c r="M171" s="210">
        <f t="shared" si="48"/>
        <v>30.150548935918106</v>
      </c>
      <c r="N171" s="211">
        <f t="shared" si="49"/>
        <v>925.47054893591962</v>
      </c>
      <c r="O171" s="210">
        <v>0</v>
      </c>
      <c r="P171" s="210">
        <v>0</v>
      </c>
      <c r="Q171" s="210">
        <v>0</v>
      </c>
      <c r="R171" s="211">
        <f t="shared" si="50"/>
        <v>925.47054893591962</v>
      </c>
      <c r="S171" s="52"/>
    </row>
    <row r="172" spans="1:19" x14ac:dyDescent="0.25">
      <c r="A172" s="163">
        <v>9</v>
      </c>
      <c r="B172" s="202">
        <f t="shared" si="45"/>
        <v>44075</v>
      </c>
      <c r="C172" s="226">
        <f t="shared" ref="C172:D175" si="54">+C160</f>
        <v>44109</v>
      </c>
      <c r="D172" s="226">
        <f t="shared" si="54"/>
        <v>44130</v>
      </c>
      <c r="E172" s="234" t="s">
        <v>55</v>
      </c>
      <c r="F172" s="125">
        <v>9</v>
      </c>
      <c r="G172" s="205">
        <v>14</v>
      </c>
      <c r="H172" s="206">
        <f t="shared" si="46"/>
        <v>771.63</v>
      </c>
      <c r="I172" s="206">
        <f t="shared" si="44"/>
        <v>846.24</v>
      </c>
      <c r="J172" s="207">
        <f t="shared" si="47"/>
        <v>11847.36</v>
      </c>
      <c r="K172" s="214">
        <f t="shared" si="41"/>
        <v>10802.82</v>
      </c>
      <c r="L172" s="213">
        <f t="shared" si="53"/>
        <v>1044.5400000000009</v>
      </c>
      <c r="M172" s="210">
        <f t="shared" si="48"/>
        <v>35.175640425237795</v>
      </c>
      <c r="N172" s="211">
        <f t="shared" si="49"/>
        <v>1079.7156404252387</v>
      </c>
      <c r="O172" s="210">
        <v>0</v>
      </c>
      <c r="P172" s="210">
        <v>0</v>
      </c>
      <c r="Q172" s="210">
        <v>0</v>
      </c>
      <c r="R172" s="211">
        <f t="shared" si="50"/>
        <v>1079.7156404252387</v>
      </c>
    </row>
    <row r="173" spans="1:19" x14ac:dyDescent="0.25">
      <c r="A173" s="125">
        <v>10</v>
      </c>
      <c r="B173" s="202">
        <f t="shared" si="45"/>
        <v>44105</v>
      </c>
      <c r="C173" s="226">
        <f t="shared" si="54"/>
        <v>44139</v>
      </c>
      <c r="D173" s="226">
        <f t="shared" si="54"/>
        <v>44159</v>
      </c>
      <c r="E173" s="234" t="s">
        <v>55</v>
      </c>
      <c r="F173" s="125">
        <v>9</v>
      </c>
      <c r="G173" s="205">
        <v>11</v>
      </c>
      <c r="H173" s="206">
        <f t="shared" si="46"/>
        <v>771.63</v>
      </c>
      <c r="I173" s="206">
        <f t="shared" si="44"/>
        <v>846.24</v>
      </c>
      <c r="J173" s="207">
        <f t="shared" si="47"/>
        <v>9308.64</v>
      </c>
      <c r="K173" s="214">
        <f t="shared" si="41"/>
        <v>8487.93</v>
      </c>
      <c r="L173" s="213">
        <f t="shared" si="53"/>
        <v>820.70999999999913</v>
      </c>
      <c r="M173" s="210">
        <f t="shared" si="48"/>
        <v>27.638003191258267</v>
      </c>
      <c r="N173" s="211">
        <f t="shared" si="49"/>
        <v>848.34800319125736</v>
      </c>
      <c r="O173" s="210">
        <v>0</v>
      </c>
      <c r="P173" s="210">
        <v>0</v>
      </c>
      <c r="Q173" s="210">
        <v>0</v>
      </c>
      <c r="R173" s="211">
        <f t="shared" si="50"/>
        <v>848.34800319125736</v>
      </c>
    </row>
    <row r="174" spans="1:19" x14ac:dyDescent="0.25">
      <c r="A174" s="163">
        <v>11</v>
      </c>
      <c r="B174" s="202">
        <f t="shared" si="45"/>
        <v>44136</v>
      </c>
      <c r="C174" s="226">
        <f t="shared" si="54"/>
        <v>44168</v>
      </c>
      <c r="D174" s="226">
        <f t="shared" si="54"/>
        <v>44189</v>
      </c>
      <c r="E174" s="234" t="s">
        <v>55</v>
      </c>
      <c r="F174" s="125">
        <v>9</v>
      </c>
      <c r="G174" s="205">
        <v>9</v>
      </c>
      <c r="H174" s="206">
        <f t="shared" si="46"/>
        <v>771.63</v>
      </c>
      <c r="I174" s="206">
        <f t="shared" si="44"/>
        <v>846.24</v>
      </c>
      <c r="J174" s="207">
        <f t="shared" si="47"/>
        <v>7616.16</v>
      </c>
      <c r="K174" s="214">
        <f t="shared" si="41"/>
        <v>6944.67</v>
      </c>
      <c r="L174" s="213">
        <f t="shared" si="53"/>
        <v>671.48999999999978</v>
      </c>
      <c r="M174" s="210">
        <f t="shared" si="48"/>
        <v>22.612911701938582</v>
      </c>
      <c r="N174" s="211">
        <f t="shared" si="49"/>
        <v>694.10291170193841</v>
      </c>
      <c r="O174" s="210">
        <v>0</v>
      </c>
      <c r="P174" s="210">
        <v>0</v>
      </c>
      <c r="Q174" s="210">
        <v>0</v>
      </c>
      <c r="R174" s="211">
        <f t="shared" si="50"/>
        <v>694.10291170193841</v>
      </c>
    </row>
    <row r="175" spans="1:19" s="230" customFormat="1" x14ac:dyDescent="0.25">
      <c r="A175" s="163">
        <v>12</v>
      </c>
      <c r="B175" s="228">
        <f t="shared" si="45"/>
        <v>44166</v>
      </c>
      <c r="C175" s="226">
        <f t="shared" si="54"/>
        <v>44202</v>
      </c>
      <c r="D175" s="226">
        <f t="shared" si="54"/>
        <v>44221</v>
      </c>
      <c r="E175" s="235" t="s">
        <v>55</v>
      </c>
      <c r="F175" s="174">
        <v>9</v>
      </c>
      <c r="G175" s="217">
        <v>8</v>
      </c>
      <c r="H175" s="218">
        <f t="shared" si="46"/>
        <v>771.63</v>
      </c>
      <c r="I175" s="218">
        <f t="shared" si="44"/>
        <v>846.24</v>
      </c>
      <c r="J175" s="219">
        <f t="shared" si="47"/>
        <v>6769.92</v>
      </c>
      <c r="K175" s="220">
        <f t="shared" si="41"/>
        <v>6173.04</v>
      </c>
      <c r="L175" s="221">
        <f t="shared" si="53"/>
        <v>596.88000000000011</v>
      </c>
      <c r="M175" s="210">
        <f t="shared" si="48"/>
        <v>20.10036595727874</v>
      </c>
      <c r="N175" s="211">
        <f t="shared" si="49"/>
        <v>616.98036595727888</v>
      </c>
      <c r="O175" s="210">
        <v>0</v>
      </c>
      <c r="P175" s="210">
        <v>0</v>
      </c>
      <c r="Q175" s="210">
        <v>0</v>
      </c>
      <c r="R175" s="211">
        <f t="shared" si="50"/>
        <v>616.98036595727888</v>
      </c>
    </row>
    <row r="176" spans="1:19" x14ac:dyDescent="0.25">
      <c r="A176" s="125">
        <v>1</v>
      </c>
      <c r="B176" s="202">
        <f t="shared" si="45"/>
        <v>43831</v>
      </c>
      <c r="C176" s="223">
        <f t="shared" ref="C176:D187" si="55">+C152</f>
        <v>43866</v>
      </c>
      <c r="D176" s="223">
        <f t="shared" si="55"/>
        <v>43885</v>
      </c>
      <c r="E176" s="233" t="s">
        <v>56</v>
      </c>
      <c r="F176" s="163">
        <v>9</v>
      </c>
      <c r="G176" s="205">
        <v>20</v>
      </c>
      <c r="H176" s="206">
        <f t="shared" si="46"/>
        <v>771.63</v>
      </c>
      <c r="I176" s="206">
        <f t="shared" si="44"/>
        <v>846.24</v>
      </c>
      <c r="J176" s="207">
        <f t="shared" si="47"/>
        <v>16924.8</v>
      </c>
      <c r="K176" s="208">
        <f t="shared" si="41"/>
        <v>15432.6</v>
      </c>
      <c r="L176" s="209">
        <f t="shared" si="53"/>
        <v>1492.1999999999989</v>
      </c>
      <c r="M176" s="210">
        <f t="shared" si="48"/>
        <v>50.25091489319685</v>
      </c>
      <c r="N176" s="211">
        <f t="shared" si="49"/>
        <v>1542.4509148931957</v>
      </c>
      <c r="O176" s="210">
        <v>0</v>
      </c>
      <c r="P176" s="210">
        <v>0</v>
      </c>
      <c r="Q176" s="210">
        <v>0</v>
      </c>
      <c r="R176" s="211">
        <f t="shared" si="50"/>
        <v>1542.4509148931957</v>
      </c>
    </row>
    <row r="177" spans="1:18" x14ac:dyDescent="0.25">
      <c r="A177" s="163">
        <v>2</v>
      </c>
      <c r="B177" s="202">
        <f t="shared" si="45"/>
        <v>43862</v>
      </c>
      <c r="C177" s="226">
        <f t="shared" si="55"/>
        <v>43894</v>
      </c>
      <c r="D177" s="226">
        <f t="shared" si="55"/>
        <v>43914</v>
      </c>
      <c r="E177" s="54" t="s">
        <v>56</v>
      </c>
      <c r="F177" s="163">
        <v>9</v>
      </c>
      <c r="G177" s="205">
        <v>19</v>
      </c>
      <c r="H177" s="206">
        <f t="shared" si="46"/>
        <v>771.63</v>
      </c>
      <c r="I177" s="206">
        <f t="shared" si="44"/>
        <v>846.24</v>
      </c>
      <c r="J177" s="207">
        <f t="shared" si="47"/>
        <v>16078.56</v>
      </c>
      <c r="K177" s="208">
        <f t="shared" si="41"/>
        <v>14660.97</v>
      </c>
      <c r="L177" s="209">
        <f t="shared" si="53"/>
        <v>1417.5900000000001</v>
      </c>
      <c r="M177" s="210">
        <f t="shared" si="48"/>
        <v>47.738369148537011</v>
      </c>
      <c r="N177" s="211">
        <f t="shared" si="49"/>
        <v>1465.3283691485371</v>
      </c>
      <c r="O177" s="210">
        <v>0</v>
      </c>
      <c r="P177" s="210">
        <v>0</v>
      </c>
      <c r="Q177" s="210">
        <v>0</v>
      </c>
      <c r="R177" s="211">
        <f t="shared" si="50"/>
        <v>1465.3283691485371</v>
      </c>
    </row>
    <row r="178" spans="1:18" x14ac:dyDescent="0.25">
      <c r="A178" s="163">
        <v>3</v>
      </c>
      <c r="B178" s="202">
        <f t="shared" si="45"/>
        <v>43891</v>
      </c>
      <c r="C178" s="226">
        <f t="shared" si="55"/>
        <v>43924</v>
      </c>
      <c r="D178" s="226">
        <f t="shared" si="55"/>
        <v>43945</v>
      </c>
      <c r="E178" s="54" t="s">
        <v>56</v>
      </c>
      <c r="F178" s="163">
        <v>9</v>
      </c>
      <c r="G178" s="205">
        <v>19</v>
      </c>
      <c r="H178" s="206">
        <f t="shared" si="46"/>
        <v>771.63</v>
      </c>
      <c r="I178" s="206">
        <f t="shared" si="44"/>
        <v>846.24</v>
      </c>
      <c r="J178" s="207">
        <f t="shared" si="47"/>
        <v>16078.56</v>
      </c>
      <c r="K178" s="208">
        <f t="shared" si="41"/>
        <v>14660.97</v>
      </c>
      <c r="L178" s="209">
        <f>+J178-K178</f>
        <v>1417.5900000000001</v>
      </c>
      <c r="M178" s="210">
        <f t="shared" si="48"/>
        <v>47.738369148537011</v>
      </c>
      <c r="N178" s="211">
        <f t="shared" si="49"/>
        <v>1465.3283691485371</v>
      </c>
      <c r="O178" s="210">
        <v>0</v>
      </c>
      <c r="P178" s="210">
        <v>0</v>
      </c>
      <c r="Q178" s="210">
        <v>0</v>
      </c>
      <c r="R178" s="211">
        <f t="shared" si="50"/>
        <v>1465.3283691485371</v>
      </c>
    </row>
    <row r="179" spans="1:18" x14ac:dyDescent="0.25">
      <c r="A179" s="125">
        <v>4</v>
      </c>
      <c r="B179" s="202">
        <f t="shared" si="45"/>
        <v>43922</v>
      </c>
      <c r="C179" s="226">
        <f t="shared" si="55"/>
        <v>43956</v>
      </c>
      <c r="D179" s="226">
        <f t="shared" si="55"/>
        <v>43976</v>
      </c>
      <c r="E179" s="54" t="s">
        <v>56</v>
      </c>
      <c r="F179" s="163">
        <v>9</v>
      </c>
      <c r="G179" s="205">
        <v>21</v>
      </c>
      <c r="H179" s="206">
        <f t="shared" si="46"/>
        <v>771.63</v>
      </c>
      <c r="I179" s="206">
        <f t="shared" si="44"/>
        <v>846.24</v>
      </c>
      <c r="J179" s="207">
        <f t="shared" si="47"/>
        <v>17771.04</v>
      </c>
      <c r="K179" s="208">
        <f t="shared" si="41"/>
        <v>16204.23</v>
      </c>
      <c r="L179" s="209">
        <f t="shared" ref="L179:L189" si="56">+J179-K179</f>
        <v>1566.8100000000013</v>
      </c>
      <c r="M179" s="210">
        <f t="shared" si="48"/>
        <v>52.763460637856689</v>
      </c>
      <c r="N179" s="211">
        <f t="shared" si="49"/>
        <v>1619.573460637858</v>
      </c>
      <c r="O179" s="210">
        <v>0</v>
      </c>
      <c r="P179" s="210">
        <v>0</v>
      </c>
      <c r="Q179" s="210">
        <v>0</v>
      </c>
      <c r="R179" s="211">
        <f t="shared" si="50"/>
        <v>1619.573460637858</v>
      </c>
    </row>
    <row r="180" spans="1:18" x14ac:dyDescent="0.25">
      <c r="A180" s="163">
        <v>5</v>
      </c>
      <c r="B180" s="202">
        <f t="shared" si="45"/>
        <v>43952</v>
      </c>
      <c r="C180" s="226">
        <f t="shared" si="55"/>
        <v>43985</v>
      </c>
      <c r="D180" s="226">
        <f t="shared" si="55"/>
        <v>44006</v>
      </c>
      <c r="E180" s="54" t="s">
        <v>56</v>
      </c>
      <c r="F180" s="163">
        <v>9</v>
      </c>
      <c r="G180" s="205">
        <v>23</v>
      </c>
      <c r="H180" s="206">
        <f t="shared" si="46"/>
        <v>771.63</v>
      </c>
      <c r="I180" s="206">
        <f t="shared" ref="I180:I211" si="57">$J$3</f>
        <v>846.24</v>
      </c>
      <c r="J180" s="207">
        <f t="shared" si="47"/>
        <v>19463.52</v>
      </c>
      <c r="K180" s="208">
        <f t="shared" si="41"/>
        <v>17747.490000000002</v>
      </c>
      <c r="L180" s="209">
        <f t="shared" si="56"/>
        <v>1716.0299999999988</v>
      </c>
      <c r="M180" s="210">
        <f t="shared" si="48"/>
        <v>57.788552127176374</v>
      </c>
      <c r="N180" s="211">
        <f t="shared" si="49"/>
        <v>1773.8185521271753</v>
      </c>
      <c r="O180" s="210">
        <v>0</v>
      </c>
      <c r="P180" s="210">
        <v>0</v>
      </c>
      <c r="Q180" s="210">
        <v>0</v>
      </c>
      <c r="R180" s="211">
        <f t="shared" si="50"/>
        <v>1773.8185521271753</v>
      </c>
    </row>
    <row r="181" spans="1:18" x14ac:dyDescent="0.25">
      <c r="A181" s="163">
        <v>6</v>
      </c>
      <c r="B181" s="202">
        <f t="shared" si="45"/>
        <v>43983</v>
      </c>
      <c r="C181" s="226">
        <f t="shared" si="55"/>
        <v>44015</v>
      </c>
      <c r="D181" s="226">
        <f t="shared" si="55"/>
        <v>44036</v>
      </c>
      <c r="E181" s="54" t="s">
        <v>56</v>
      </c>
      <c r="F181" s="163">
        <v>9</v>
      </c>
      <c r="G181" s="205">
        <v>29</v>
      </c>
      <c r="H181" s="206">
        <f t="shared" si="46"/>
        <v>771.63</v>
      </c>
      <c r="I181" s="206">
        <f t="shared" si="57"/>
        <v>846.24</v>
      </c>
      <c r="J181" s="207">
        <f t="shared" si="47"/>
        <v>24540.959999999999</v>
      </c>
      <c r="K181" s="208">
        <f t="shared" si="41"/>
        <v>22377.27</v>
      </c>
      <c r="L181" s="213">
        <f t="shared" si="56"/>
        <v>2163.6899999999987</v>
      </c>
      <c r="M181" s="210">
        <f t="shared" si="48"/>
        <v>72.863826595135436</v>
      </c>
      <c r="N181" s="211">
        <f t="shared" si="49"/>
        <v>2236.5538265951341</v>
      </c>
      <c r="O181" s="210">
        <v>0</v>
      </c>
      <c r="P181" s="210">
        <v>0</v>
      </c>
      <c r="Q181" s="210">
        <v>0</v>
      </c>
      <c r="R181" s="211">
        <f t="shared" si="50"/>
        <v>2236.5538265951341</v>
      </c>
    </row>
    <row r="182" spans="1:18" x14ac:dyDescent="0.25">
      <c r="A182" s="125">
        <v>7</v>
      </c>
      <c r="B182" s="202">
        <f t="shared" si="45"/>
        <v>44013</v>
      </c>
      <c r="C182" s="226">
        <f t="shared" si="55"/>
        <v>44048</v>
      </c>
      <c r="D182" s="226">
        <f t="shared" si="55"/>
        <v>44067</v>
      </c>
      <c r="E182" s="54" t="s">
        <v>56</v>
      </c>
      <c r="F182" s="163">
        <v>9</v>
      </c>
      <c r="G182" s="205">
        <v>33</v>
      </c>
      <c r="H182" s="206">
        <f t="shared" si="46"/>
        <v>771.63</v>
      </c>
      <c r="I182" s="206">
        <f t="shared" si="57"/>
        <v>846.24</v>
      </c>
      <c r="J182" s="207">
        <f t="shared" si="47"/>
        <v>27925.920000000002</v>
      </c>
      <c r="K182" s="214">
        <f t="shared" si="41"/>
        <v>25463.79</v>
      </c>
      <c r="L182" s="213">
        <f t="shared" si="56"/>
        <v>2462.130000000001</v>
      </c>
      <c r="M182" s="210">
        <f t="shared" si="48"/>
        <v>82.914009573774806</v>
      </c>
      <c r="N182" s="211">
        <f t="shared" si="49"/>
        <v>2545.0440095737758</v>
      </c>
      <c r="O182" s="210">
        <v>0</v>
      </c>
      <c r="P182" s="210">
        <v>0</v>
      </c>
      <c r="Q182" s="210">
        <v>0</v>
      </c>
      <c r="R182" s="211">
        <f t="shared" si="50"/>
        <v>2545.0440095737758</v>
      </c>
    </row>
    <row r="183" spans="1:18" x14ac:dyDescent="0.25">
      <c r="A183" s="163">
        <v>8</v>
      </c>
      <c r="B183" s="202">
        <f t="shared" si="45"/>
        <v>44044</v>
      </c>
      <c r="C183" s="226">
        <f t="shared" si="55"/>
        <v>44077</v>
      </c>
      <c r="D183" s="226">
        <f t="shared" si="55"/>
        <v>44098</v>
      </c>
      <c r="E183" s="54" t="s">
        <v>56</v>
      </c>
      <c r="F183" s="163">
        <v>9</v>
      </c>
      <c r="G183" s="205">
        <v>34</v>
      </c>
      <c r="H183" s="206">
        <f t="shared" si="46"/>
        <v>771.63</v>
      </c>
      <c r="I183" s="206">
        <f t="shared" si="57"/>
        <v>846.24</v>
      </c>
      <c r="J183" s="207">
        <f t="shared" si="47"/>
        <v>28772.16</v>
      </c>
      <c r="K183" s="214">
        <f t="shared" si="41"/>
        <v>26235.42</v>
      </c>
      <c r="L183" s="213">
        <f t="shared" si="56"/>
        <v>2536.7400000000016</v>
      </c>
      <c r="M183" s="210">
        <f t="shared" si="48"/>
        <v>85.426555318434652</v>
      </c>
      <c r="N183" s="211">
        <f t="shared" si="49"/>
        <v>2622.1665553184362</v>
      </c>
      <c r="O183" s="210">
        <v>0</v>
      </c>
      <c r="P183" s="210">
        <v>0</v>
      </c>
      <c r="Q183" s="210">
        <v>0</v>
      </c>
      <c r="R183" s="211">
        <f t="shared" si="50"/>
        <v>2622.1665553184362</v>
      </c>
    </row>
    <row r="184" spans="1:18" x14ac:dyDescent="0.25">
      <c r="A184" s="163">
        <v>9</v>
      </c>
      <c r="B184" s="202">
        <f t="shared" si="45"/>
        <v>44075</v>
      </c>
      <c r="C184" s="226">
        <f t="shared" si="55"/>
        <v>44109</v>
      </c>
      <c r="D184" s="226">
        <f t="shared" si="55"/>
        <v>44130</v>
      </c>
      <c r="E184" s="54" t="s">
        <v>56</v>
      </c>
      <c r="F184" s="163">
        <v>9</v>
      </c>
      <c r="G184" s="205">
        <v>30</v>
      </c>
      <c r="H184" s="206">
        <f t="shared" si="46"/>
        <v>771.63</v>
      </c>
      <c r="I184" s="206">
        <f t="shared" si="57"/>
        <v>846.24</v>
      </c>
      <c r="J184" s="207">
        <f t="shared" si="47"/>
        <v>25387.200000000001</v>
      </c>
      <c r="K184" s="214">
        <f t="shared" si="41"/>
        <v>23148.9</v>
      </c>
      <c r="L184" s="213">
        <f t="shared" si="56"/>
        <v>2238.2999999999993</v>
      </c>
      <c r="M184" s="210">
        <f t="shared" si="48"/>
        <v>75.376372339795282</v>
      </c>
      <c r="N184" s="211">
        <f t="shared" si="49"/>
        <v>2313.6763723397944</v>
      </c>
      <c r="O184" s="210">
        <v>0</v>
      </c>
      <c r="P184" s="210">
        <v>0</v>
      </c>
      <c r="Q184" s="210">
        <v>0</v>
      </c>
      <c r="R184" s="211">
        <f t="shared" si="50"/>
        <v>2313.6763723397944</v>
      </c>
    </row>
    <row r="185" spans="1:18" x14ac:dyDescent="0.25">
      <c r="A185" s="125">
        <v>10</v>
      </c>
      <c r="B185" s="202">
        <f t="shared" si="45"/>
        <v>44105</v>
      </c>
      <c r="C185" s="226">
        <f t="shared" si="55"/>
        <v>44139</v>
      </c>
      <c r="D185" s="226">
        <f t="shared" si="55"/>
        <v>44159</v>
      </c>
      <c r="E185" s="54" t="s">
        <v>56</v>
      </c>
      <c r="F185" s="163">
        <v>9</v>
      </c>
      <c r="G185" s="205">
        <v>21</v>
      </c>
      <c r="H185" s="206">
        <f t="shared" si="46"/>
        <v>771.63</v>
      </c>
      <c r="I185" s="206">
        <f t="shared" si="57"/>
        <v>846.24</v>
      </c>
      <c r="J185" s="207">
        <f t="shared" si="47"/>
        <v>17771.04</v>
      </c>
      <c r="K185" s="214">
        <f t="shared" si="41"/>
        <v>16204.23</v>
      </c>
      <c r="L185" s="213">
        <f t="shared" si="56"/>
        <v>1566.8100000000013</v>
      </c>
      <c r="M185" s="210">
        <f t="shared" si="48"/>
        <v>52.763460637856689</v>
      </c>
      <c r="N185" s="211">
        <f t="shared" si="49"/>
        <v>1619.573460637858</v>
      </c>
      <c r="O185" s="210">
        <v>0</v>
      </c>
      <c r="P185" s="210">
        <v>0</v>
      </c>
      <c r="Q185" s="210">
        <v>0</v>
      </c>
      <c r="R185" s="211">
        <f t="shared" si="50"/>
        <v>1619.573460637858</v>
      </c>
    </row>
    <row r="186" spans="1:18" x14ac:dyDescent="0.25">
      <c r="A186" s="163">
        <v>11</v>
      </c>
      <c r="B186" s="202">
        <f t="shared" si="45"/>
        <v>44136</v>
      </c>
      <c r="C186" s="226">
        <f t="shared" si="55"/>
        <v>44168</v>
      </c>
      <c r="D186" s="226">
        <f t="shared" si="55"/>
        <v>44189</v>
      </c>
      <c r="E186" s="54" t="s">
        <v>56</v>
      </c>
      <c r="F186" s="163">
        <v>9</v>
      </c>
      <c r="G186" s="205">
        <v>16</v>
      </c>
      <c r="H186" s="206">
        <f t="shared" si="46"/>
        <v>771.63</v>
      </c>
      <c r="I186" s="206">
        <f t="shared" si="57"/>
        <v>846.24</v>
      </c>
      <c r="J186" s="207">
        <f t="shared" si="47"/>
        <v>13539.84</v>
      </c>
      <c r="K186" s="214">
        <f t="shared" si="41"/>
        <v>12346.08</v>
      </c>
      <c r="L186" s="213">
        <f t="shared" si="56"/>
        <v>1193.7600000000002</v>
      </c>
      <c r="M186" s="210">
        <f t="shared" si="48"/>
        <v>40.20073191455748</v>
      </c>
      <c r="N186" s="211">
        <f t="shared" si="49"/>
        <v>1233.9607319145578</v>
      </c>
      <c r="O186" s="210">
        <v>0</v>
      </c>
      <c r="P186" s="210">
        <v>0</v>
      </c>
      <c r="Q186" s="210">
        <v>0</v>
      </c>
      <c r="R186" s="211">
        <f t="shared" si="50"/>
        <v>1233.9607319145578</v>
      </c>
    </row>
    <row r="187" spans="1:18" s="230" customFormat="1" x14ac:dyDescent="0.25">
      <c r="A187" s="163">
        <v>12</v>
      </c>
      <c r="B187" s="228">
        <f t="shared" si="45"/>
        <v>44166</v>
      </c>
      <c r="C187" s="226">
        <f t="shared" si="55"/>
        <v>44202</v>
      </c>
      <c r="D187" s="226">
        <f t="shared" si="55"/>
        <v>44221</v>
      </c>
      <c r="E187" s="229" t="s">
        <v>56</v>
      </c>
      <c r="F187" s="174">
        <v>9</v>
      </c>
      <c r="G187" s="217">
        <v>19</v>
      </c>
      <c r="H187" s="218">
        <f t="shared" si="46"/>
        <v>771.63</v>
      </c>
      <c r="I187" s="218">
        <f t="shared" si="57"/>
        <v>846.24</v>
      </c>
      <c r="J187" s="219">
        <f t="shared" si="47"/>
        <v>16078.56</v>
      </c>
      <c r="K187" s="220">
        <f t="shared" si="41"/>
        <v>14660.97</v>
      </c>
      <c r="L187" s="221">
        <f t="shared" si="56"/>
        <v>1417.5900000000001</v>
      </c>
      <c r="M187" s="210">
        <f t="shared" si="48"/>
        <v>47.738369148537011</v>
      </c>
      <c r="N187" s="211">
        <f t="shared" si="49"/>
        <v>1465.3283691485371</v>
      </c>
      <c r="O187" s="210">
        <v>0</v>
      </c>
      <c r="P187" s="210">
        <v>0</v>
      </c>
      <c r="Q187" s="210">
        <v>0</v>
      </c>
      <c r="R187" s="211">
        <f t="shared" si="50"/>
        <v>1465.3283691485371</v>
      </c>
    </row>
    <row r="188" spans="1:18" x14ac:dyDescent="0.25">
      <c r="A188" s="125">
        <v>1</v>
      </c>
      <c r="B188" s="202">
        <f t="shared" si="45"/>
        <v>43831</v>
      </c>
      <c r="C188" s="223">
        <f t="shared" ref="C188:D211" si="58">+C176</f>
        <v>43866</v>
      </c>
      <c r="D188" s="223">
        <f t="shared" si="58"/>
        <v>43885</v>
      </c>
      <c r="E188" s="204" t="s">
        <v>57</v>
      </c>
      <c r="F188" s="125">
        <v>9</v>
      </c>
      <c r="G188" s="205">
        <v>35</v>
      </c>
      <c r="H188" s="206">
        <f t="shared" si="46"/>
        <v>771.63</v>
      </c>
      <c r="I188" s="206">
        <f t="shared" si="57"/>
        <v>846.24</v>
      </c>
      <c r="J188" s="207">
        <f t="shared" si="47"/>
        <v>29618.400000000001</v>
      </c>
      <c r="K188" s="208">
        <f t="shared" si="41"/>
        <v>27007.05</v>
      </c>
      <c r="L188" s="209">
        <f t="shared" si="56"/>
        <v>2611.3500000000022</v>
      </c>
      <c r="M188" s="210">
        <f t="shared" si="48"/>
        <v>87.939101063094483</v>
      </c>
      <c r="N188" s="211">
        <f t="shared" si="49"/>
        <v>2699.2891010630965</v>
      </c>
      <c r="O188" s="210">
        <v>0</v>
      </c>
      <c r="P188" s="210">
        <v>0</v>
      </c>
      <c r="Q188" s="210">
        <v>0</v>
      </c>
      <c r="R188" s="211">
        <f t="shared" si="50"/>
        <v>2699.2891010630965</v>
      </c>
    </row>
    <row r="189" spans="1:18" x14ac:dyDescent="0.25">
      <c r="A189" s="163">
        <v>2</v>
      </c>
      <c r="B189" s="202">
        <f t="shared" si="45"/>
        <v>43862</v>
      </c>
      <c r="C189" s="226">
        <f t="shared" si="58"/>
        <v>43894</v>
      </c>
      <c r="D189" s="226">
        <f t="shared" si="58"/>
        <v>43914</v>
      </c>
      <c r="E189" s="212" t="s">
        <v>57</v>
      </c>
      <c r="F189" s="163">
        <v>9</v>
      </c>
      <c r="G189" s="205">
        <v>34</v>
      </c>
      <c r="H189" s="206">
        <f t="shared" si="46"/>
        <v>771.63</v>
      </c>
      <c r="I189" s="206">
        <f t="shared" si="57"/>
        <v>846.24</v>
      </c>
      <c r="J189" s="207">
        <f t="shared" si="47"/>
        <v>28772.16</v>
      </c>
      <c r="K189" s="208">
        <f t="shared" si="41"/>
        <v>26235.42</v>
      </c>
      <c r="L189" s="209">
        <f t="shared" si="56"/>
        <v>2536.7400000000016</v>
      </c>
      <c r="M189" s="210">
        <f t="shared" si="48"/>
        <v>85.426555318434652</v>
      </c>
      <c r="N189" s="211">
        <f t="shared" si="49"/>
        <v>2622.1665553184362</v>
      </c>
      <c r="O189" s="210">
        <v>0</v>
      </c>
      <c r="P189" s="210">
        <v>0</v>
      </c>
      <c r="Q189" s="210">
        <v>0</v>
      </c>
      <c r="R189" s="211">
        <f t="shared" si="50"/>
        <v>2622.1665553184362</v>
      </c>
    </row>
    <row r="190" spans="1:18" x14ac:dyDescent="0.25">
      <c r="A190" s="163">
        <v>3</v>
      </c>
      <c r="B190" s="202">
        <f t="shared" si="45"/>
        <v>43891</v>
      </c>
      <c r="C190" s="226">
        <f t="shared" si="58"/>
        <v>43924</v>
      </c>
      <c r="D190" s="226">
        <f t="shared" si="58"/>
        <v>43945</v>
      </c>
      <c r="E190" s="212" t="s">
        <v>57</v>
      </c>
      <c r="F190" s="163">
        <v>9</v>
      </c>
      <c r="G190" s="205">
        <v>30</v>
      </c>
      <c r="H190" s="206">
        <f t="shared" si="46"/>
        <v>771.63</v>
      </c>
      <c r="I190" s="206">
        <f t="shared" si="57"/>
        <v>846.24</v>
      </c>
      <c r="J190" s="207">
        <f t="shared" si="47"/>
        <v>25387.200000000001</v>
      </c>
      <c r="K190" s="208">
        <f t="shared" si="41"/>
        <v>23148.9</v>
      </c>
      <c r="L190" s="209">
        <f>+J190-K190</f>
        <v>2238.2999999999993</v>
      </c>
      <c r="M190" s="210">
        <f t="shared" si="48"/>
        <v>75.376372339795282</v>
      </c>
      <c r="N190" s="211">
        <f t="shared" si="49"/>
        <v>2313.6763723397944</v>
      </c>
      <c r="O190" s="210">
        <v>0</v>
      </c>
      <c r="P190" s="210">
        <v>0</v>
      </c>
      <c r="Q190" s="210">
        <v>0</v>
      </c>
      <c r="R190" s="211">
        <f t="shared" si="50"/>
        <v>2313.6763723397944</v>
      </c>
    </row>
    <row r="191" spans="1:18" x14ac:dyDescent="0.25">
      <c r="A191" s="125">
        <v>4</v>
      </c>
      <c r="B191" s="202">
        <f t="shared" si="45"/>
        <v>43922</v>
      </c>
      <c r="C191" s="226">
        <f t="shared" si="58"/>
        <v>43956</v>
      </c>
      <c r="D191" s="226">
        <f t="shared" si="58"/>
        <v>43976</v>
      </c>
      <c r="E191" s="54" t="s">
        <v>57</v>
      </c>
      <c r="F191" s="163">
        <v>9</v>
      </c>
      <c r="G191" s="205">
        <v>32</v>
      </c>
      <c r="H191" s="206">
        <f t="shared" si="46"/>
        <v>771.63</v>
      </c>
      <c r="I191" s="206">
        <f t="shared" si="57"/>
        <v>846.24</v>
      </c>
      <c r="J191" s="207">
        <f t="shared" si="47"/>
        <v>27079.68</v>
      </c>
      <c r="K191" s="208">
        <f t="shared" si="41"/>
        <v>24692.16</v>
      </c>
      <c r="L191" s="209">
        <f t="shared" ref="L191:L201" si="59">+J191-K191</f>
        <v>2387.5200000000004</v>
      </c>
      <c r="M191" s="210">
        <f t="shared" si="48"/>
        <v>80.401463829114959</v>
      </c>
      <c r="N191" s="211">
        <f t="shared" si="49"/>
        <v>2467.9214638291155</v>
      </c>
      <c r="O191" s="210">
        <v>0</v>
      </c>
      <c r="P191" s="210">
        <v>0</v>
      </c>
      <c r="Q191" s="210">
        <v>0</v>
      </c>
      <c r="R191" s="211">
        <f t="shared" si="50"/>
        <v>2467.9214638291155</v>
      </c>
    </row>
    <row r="192" spans="1:18" x14ac:dyDescent="0.25">
      <c r="A192" s="163">
        <v>5</v>
      </c>
      <c r="B192" s="202">
        <f t="shared" si="45"/>
        <v>43952</v>
      </c>
      <c r="C192" s="226">
        <f t="shared" si="58"/>
        <v>43985</v>
      </c>
      <c r="D192" s="226">
        <f t="shared" si="58"/>
        <v>44006</v>
      </c>
      <c r="E192" s="54" t="s">
        <v>57</v>
      </c>
      <c r="F192" s="163">
        <v>9</v>
      </c>
      <c r="G192" s="205">
        <v>36</v>
      </c>
      <c r="H192" s="206">
        <f t="shared" si="46"/>
        <v>771.63</v>
      </c>
      <c r="I192" s="206">
        <f t="shared" si="57"/>
        <v>846.24</v>
      </c>
      <c r="J192" s="207">
        <f t="shared" si="47"/>
        <v>30464.639999999999</v>
      </c>
      <c r="K192" s="208">
        <f t="shared" si="41"/>
        <v>27778.68</v>
      </c>
      <c r="L192" s="209">
        <f t="shared" si="59"/>
        <v>2685.9599999999991</v>
      </c>
      <c r="M192" s="210">
        <f t="shared" si="48"/>
        <v>90.451646807754329</v>
      </c>
      <c r="N192" s="211">
        <f t="shared" si="49"/>
        <v>2776.4116468077536</v>
      </c>
      <c r="O192" s="210">
        <v>0</v>
      </c>
      <c r="P192" s="210">
        <v>0</v>
      </c>
      <c r="Q192" s="210">
        <v>0</v>
      </c>
      <c r="R192" s="211">
        <f t="shared" si="50"/>
        <v>2776.4116468077536</v>
      </c>
    </row>
    <row r="193" spans="1:18" x14ac:dyDescent="0.25">
      <c r="A193" s="163">
        <v>6</v>
      </c>
      <c r="B193" s="202">
        <f t="shared" si="45"/>
        <v>43983</v>
      </c>
      <c r="C193" s="226">
        <f t="shared" si="58"/>
        <v>44015</v>
      </c>
      <c r="D193" s="226">
        <f t="shared" si="58"/>
        <v>44036</v>
      </c>
      <c r="E193" s="54" t="s">
        <v>57</v>
      </c>
      <c r="F193" s="163">
        <v>9</v>
      </c>
      <c r="G193" s="205">
        <v>42</v>
      </c>
      <c r="H193" s="206">
        <f t="shared" si="46"/>
        <v>771.63</v>
      </c>
      <c r="I193" s="206">
        <f t="shared" si="57"/>
        <v>846.24</v>
      </c>
      <c r="J193" s="207">
        <f t="shared" si="47"/>
        <v>35542.080000000002</v>
      </c>
      <c r="K193" s="208">
        <f t="shared" si="41"/>
        <v>32408.46</v>
      </c>
      <c r="L193" s="213">
        <f t="shared" si="59"/>
        <v>3133.6200000000026</v>
      </c>
      <c r="M193" s="210">
        <f t="shared" si="48"/>
        <v>105.52692127571338</v>
      </c>
      <c r="N193" s="211">
        <f t="shared" si="49"/>
        <v>3239.1469212757161</v>
      </c>
      <c r="O193" s="210">
        <v>0</v>
      </c>
      <c r="P193" s="210">
        <v>0</v>
      </c>
      <c r="Q193" s="210">
        <v>0</v>
      </c>
      <c r="R193" s="211">
        <f t="shared" si="50"/>
        <v>3239.1469212757161</v>
      </c>
    </row>
    <row r="194" spans="1:18" x14ac:dyDescent="0.25">
      <c r="A194" s="125">
        <v>7</v>
      </c>
      <c r="B194" s="202">
        <f t="shared" si="45"/>
        <v>44013</v>
      </c>
      <c r="C194" s="226">
        <f t="shared" si="58"/>
        <v>44048</v>
      </c>
      <c r="D194" s="226">
        <f t="shared" si="58"/>
        <v>44067</v>
      </c>
      <c r="E194" s="54" t="s">
        <v>57</v>
      </c>
      <c r="F194" s="163">
        <v>9</v>
      </c>
      <c r="G194" s="205">
        <v>47</v>
      </c>
      <c r="H194" s="206">
        <f t="shared" si="46"/>
        <v>771.63</v>
      </c>
      <c r="I194" s="206">
        <f t="shared" si="57"/>
        <v>846.24</v>
      </c>
      <c r="J194" s="207">
        <f t="shared" si="47"/>
        <v>39773.279999999999</v>
      </c>
      <c r="K194" s="214">
        <f t="shared" si="41"/>
        <v>36266.61</v>
      </c>
      <c r="L194" s="213">
        <f t="shared" si="59"/>
        <v>3506.6699999999983</v>
      </c>
      <c r="M194" s="210">
        <f t="shared" si="48"/>
        <v>118.08964999901261</v>
      </c>
      <c r="N194" s="211">
        <f t="shared" si="49"/>
        <v>3624.7596499990109</v>
      </c>
      <c r="O194" s="210">
        <v>0</v>
      </c>
      <c r="P194" s="210">
        <v>0</v>
      </c>
      <c r="Q194" s="210">
        <v>0</v>
      </c>
      <c r="R194" s="211">
        <f t="shared" si="50"/>
        <v>3624.7596499990109</v>
      </c>
    </row>
    <row r="195" spans="1:18" x14ac:dyDescent="0.25">
      <c r="A195" s="163">
        <v>8</v>
      </c>
      <c r="B195" s="202">
        <f t="shared" si="45"/>
        <v>44044</v>
      </c>
      <c r="C195" s="226">
        <f t="shared" si="58"/>
        <v>44077</v>
      </c>
      <c r="D195" s="226">
        <f t="shared" si="58"/>
        <v>44098</v>
      </c>
      <c r="E195" s="54" t="s">
        <v>57</v>
      </c>
      <c r="F195" s="163">
        <v>9</v>
      </c>
      <c r="G195" s="205">
        <v>48</v>
      </c>
      <c r="H195" s="206">
        <f t="shared" si="46"/>
        <v>771.63</v>
      </c>
      <c r="I195" s="206">
        <f t="shared" si="57"/>
        <v>846.24</v>
      </c>
      <c r="J195" s="207">
        <f t="shared" si="47"/>
        <v>40619.520000000004</v>
      </c>
      <c r="K195" s="214">
        <f t="shared" si="41"/>
        <v>37038.239999999998</v>
      </c>
      <c r="L195" s="213">
        <f t="shared" si="59"/>
        <v>3581.2800000000061</v>
      </c>
      <c r="M195" s="210">
        <f t="shared" si="48"/>
        <v>120.60219574367243</v>
      </c>
      <c r="N195" s="211">
        <f t="shared" si="49"/>
        <v>3701.8821957436785</v>
      </c>
      <c r="O195" s="210">
        <v>0</v>
      </c>
      <c r="P195" s="210">
        <v>0</v>
      </c>
      <c r="Q195" s="210">
        <v>0</v>
      </c>
      <c r="R195" s="211">
        <f t="shared" si="50"/>
        <v>3701.8821957436785</v>
      </c>
    </row>
    <row r="196" spans="1:18" x14ac:dyDescent="0.25">
      <c r="A196" s="163">
        <v>9</v>
      </c>
      <c r="B196" s="202">
        <f t="shared" si="45"/>
        <v>44075</v>
      </c>
      <c r="C196" s="226">
        <f t="shared" si="58"/>
        <v>44109</v>
      </c>
      <c r="D196" s="226">
        <f t="shared" si="58"/>
        <v>44130</v>
      </c>
      <c r="E196" s="54" t="s">
        <v>57</v>
      </c>
      <c r="F196" s="163">
        <v>9</v>
      </c>
      <c r="G196" s="205">
        <v>44</v>
      </c>
      <c r="H196" s="206">
        <f t="shared" si="46"/>
        <v>771.63</v>
      </c>
      <c r="I196" s="206">
        <f t="shared" si="57"/>
        <v>846.24</v>
      </c>
      <c r="J196" s="207">
        <f t="shared" si="47"/>
        <v>37234.559999999998</v>
      </c>
      <c r="K196" s="214">
        <f t="shared" si="41"/>
        <v>33951.72</v>
      </c>
      <c r="L196" s="213">
        <f t="shared" si="59"/>
        <v>3282.8399999999965</v>
      </c>
      <c r="M196" s="210">
        <f t="shared" si="48"/>
        <v>110.55201276503307</v>
      </c>
      <c r="N196" s="211">
        <f t="shared" si="49"/>
        <v>3393.3920127650294</v>
      </c>
      <c r="O196" s="210">
        <v>0</v>
      </c>
      <c r="P196" s="210">
        <v>0</v>
      </c>
      <c r="Q196" s="210">
        <v>0</v>
      </c>
      <c r="R196" s="211">
        <f t="shared" si="50"/>
        <v>3393.3920127650294</v>
      </c>
    </row>
    <row r="197" spans="1:18" x14ac:dyDescent="0.25">
      <c r="A197" s="125">
        <v>10</v>
      </c>
      <c r="B197" s="202">
        <f t="shared" si="45"/>
        <v>44105</v>
      </c>
      <c r="C197" s="226">
        <f t="shared" si="58"/>
        <v>44139</v>
      </c>
      <c r="D197" s="226">
        <f t="shared" si="58"/>
        <v>44159</v>
      </c>
      <c r="E197" s="54" t="s">
        <v>57</v>
      </c>
      <c r="F197" s="163">
        <v>9</v>
      </c>
      <c r="G197" s="205">
        <v>30</v>
      </c>
      <c r="H197" s="206">
        <f t="shared" si="46"/>
        <v>771.63</v>
      </c>
      <c r="I197" s="206">
        <f t="shared" si="57"/>
        <v>846.24</v>
      </c>
      <c r="J197" s="207">
        <f t="shared" si="47"/>
        <v>25387.200000000001</v>
      </c>
      <c r="K197" s="214">
        <f t="shared" si="41"/>
        <v>23148.9</v>
      </c>
      <c r="L197" s="213">
        <f t="shared" si="59"/>
        <v>2238.2999999999993</v>
      </c>
      <c r="M197" s="210">
        <f t="shared" si="48"/>
        <v>75.376372339795282</v>
      </c>
      <c r="N197" s="211">
        <f t="shared" si="49"/>
        <v>2313.6763723397944</v>
      </c>
      <c r="O197" s="210">
        <v>0</v>
      </c>
      <c r="P197" s="210">
        <v>0</v>
      </c>
      <c r="Q197" s="210">
        <v>0</v>
      </c>
      <c r="R197" s="211">
        <f t="shared" si="50"/>
        <v>2313.6763723397944</v>
      </c>
    </row>
    <row r="198" spans="1:18" x14ac:dyDescent="0.25">
      <c r="A198" s="163">
        <v>11</v>
      </c>
      <c r="B198" s="202">
        <f t="shared" si="45"/>
        <v>44136</v>
      </c>
      <c r="C198" s="226">
        <f t="shared" si="58"/>
        <v>44168</v>
      </c>
      <c r="D198" s="226">
        <f t="shared" si="58"/>
        <v>44189</v>
      </c>
      <c r="E198" s="54" t="s">
        <v>57</v>
      </c>
      <c r="F198" s="163">
        <v>9</v>
      </c>
      <c r="G198" s="205">
        <v>31</v>
      </c>
      <c r="H198" s="206">
        <f t="shared" si="46"/>
        <v>771.63</v>
      </c>
      <c r="I198" s="206">
        <f t="shared" si="57"/>
        <v>846.24</v>
      </c>
      <c r="J198" s="207">
        <f t="shared" si="47"/>
        <v>26233.439999999999</v>
      </c>
      <c r="K198" s="214">
        <f t="shared" ref="K198:K209" si="60">+$G198*H198</f>
        <v>23920.53</v>
      </c>
      <c r="L198" s="213">
        <f t="shared" si="59"/>
        <v>2312.91</v>
      </c>
      <c r="M198" s="210">
        <f t="shared" si="48"/>
        <v>77.888918084455113</v>
      </c>
      <c r="N198" s="211">
        <f t="shared" si="49"/>
        <v>2390.7989180844552</v>
      </c>
      <c r="O198" s="210">
        <v>0</v>
      </c>
      <c r="P198" s="210">
        <v>0</v>
      </c>
      <c r="Q198" s="210">
        <v>0</v>
      </c>
      <c r="R198" s="211">
        <f t="shared" si="50"/>
        <v>2390.7989180844552</v>
      </c>
    </row>
    <row r="199" spans="1:18" s="230" customFormat="1" x14ac:dyDescent="0.25">
      <c r="A199" s="163">
        <v>12</v>
      </c>
      <c r="B199" s="228">
        <f t="shared" si="45"/>
        <v>44166</v>
      </c>
      <c r="C199" s="226">
        <f t="shared" si="58"/>
        <v>44202</v>
      </c>
      <c r="D199" s="226">
        <f t="shared" si="58"/>
        <v>44221</v>
      </c>
      <c r="E199" s="229" t="s">
        <v>57</v>
      </c>
      <c r="F199" s="174">
        <v>9</v>
      </c>
      <c r="G199" s="217">
        <v>34</v>
      </c>
      <c r="H199" s="218">
        <f t="shared" si="46"/>
        <v>771.63</v>
      </c>
      <c r="I199" s="218">
        <f t="shared" si="57"/>
        <v>846.24</v>
      </c>
      <c r="J199" s="219">
        <f t="shared" si="47"/>
        <v>28772.16</v>
      </c>
      <c r="K199" s="220">
        <f t="shared" si="60"/>
        <v>26235.42</v>
      </c>
      <c r="L199" s="221">
        <f t="shared" si="59"/>
        <v>2536.7400000000016</v>
      </c>
      <c r="M199" s="210">
        <f t="shared" si="48"/>
        <v>85.426555318434652</v>
      </c>
      <c r="N199" s="211">
        <f t="shared" si="49"/>
        <v>2622.1665553184362</v>
      </c>
      <c r="O199" s="210">
        <v>0</v>
      </c>
      <c r="P199" s="210">
        <v>0</v>
      </c>
      <c r="Q199" s="210">
        <v>0</v>
      </c>
      <c r="R199" s="211">
        <f t="shared" si="50"/>
        <v>2622.1665553184362</v>
      </c>
    </row>
    <row r="200" spans="1:18" x14ac:dyDescent="0.25">
      <c r="A200" s="125">
        <v>1</v>
      </c>
      <c r="B200" s="202">
        <f t="shared" si="45"/>
        <v>43831</v>
      </c>
      <c r="C200" s="223">
        <f t="shared" si="58"/>
        <v>43866</v>
      </c>
      <c r="D200" s="223">
        <f t="shared" si="58"/>
        <v>43885</v>
      </c>
      <c r="E200" s="204" t="s">
        <v>17</v>
      </c>
      <c r="F200" s="125">
        <v>9</v>
      </c>
      <c r="G200" s="205">
        <v>106</v>
      </c>
      <c r="H200" s="206">
        <f t="shared" si="46"/>
        <v>771.63</v>
      </c>
      <c r="I200" s="206">
        <f t="shared" si="57"/>
        <v>846.24</v>
      </c>
      <c r="J200" s="207">
        <f t="shared" si="47"/>
        <v>89701.440000000002</v>
      </c>
      <c r="K200" s="208">
        <f t="shared" si="60"/>
        <v>81792.78</v>
      </c>
      <c r="L200" s="209">
        <f t="shared" si="59"/>
        <v>7908.6600000000035</v>
      </c>
      <c r="M200" s="210">
        <f t="shared" si="48"/>
        <v>266.32984893394331</v>
      </c>
      <c r="N200" s="211">
        <f t="shared" si="49"/>
        <v>8174.9898489339466</v>
      </c>
      <c r="O200" s="210">
        <v>0</v>
      </c>
      <c r="P200" s="210">
        <v>0</v>
      </c>
      <c r="Q200" s="210">
        <v>0</v>
      </c>
      <c r="R200" s="211">
        <f t="shared" si="50"/>
        <v>8174.9898489339466</v>
      </c>
    </row>
    <row r="201" spans="1:18" x14ac:dyDescent="0.25">
      <c r="A201" s="163">
        <v>2</v>
      </c>
      <c r="B201" s="202">
        <f t="shared" si="45"/>
        <v>43862</v>
      </c>
      <c r="C201" s="226">
        <f t="shared" si="58"/>
        <v>43894</v>
      </c>
      <c r="D201" s="226">
        <f t="shared" si="58"/>
        <v>43914</v>
      </c>
      <c r="E201" s="212" t="s">
        <v>17</v>
      </c>
      <c r="F201" s="163">
        <v>9</v>
      </c>
      <c r="G201" s="205">
        <v>103</v>
      </c>
      <c r="H201" s="206">
        <f t="shared" si="46"/>
        <v>771.63</v>
      </c>
      <c r="I201" s="206">
        <f t="shared" si="57"/>
        <v>846.24</v>
      </c>
      <c r="J201" s="207">
        <f t="shared" si="47"/>
        <v>87162.72</v>
      </c>
      <c r="K201" s="208">
        <f t="shared" si="60"/>
        <v>79477.89</v>
      </c>
      <c r="L201" s="209">
        <f t="shared" si="59"/>
        <v>7684.8300000000017</v>
      </c>
      <c r="M201" s="210">
        <f t="shared" si="48"/>
        <v>258.79221169996379</v>
      </c>
      <c r="N201" s="211">
        <f t="shared" si="49"/>
        <v>7943.6222116999652</v>
      </c>
      <c r="O201" s="210">
        <v>0</v>
      </c>
      <c r="P201" s="210">
        <v>0</v>
      </c>
      <c r="Q201" s="210">
        <v>0</v>
      </c>
      <c r="R201" s="211">
        <f t="shared" si="50"/>
        <v>7943.6222116999652</v>
      </c>
    </row>
    <row r="202" spans="1:18" x14ac:dyDescent="0.25">
      <c r="A202" s="163">
        <v>3</v>
      </c>
      <c r="B202" s="202">
        <f t="shared" si="45"/>
        <v>43891</v>
      </c>
      <c r="C202" s="226">
        <f t="shared" si="58"/>
        <v>43924</v>
      </c>
      <c r="D202" s="226">
        <f t="shared" si="58"/>
        <v>43945</v>
      </c>
      <c r="E202" s="212" t="s">
        <v>17</v>
      </c>
      <c r="F202" s="163">
        <v>9</v>
      </c>
      <c r="G202" s="205">
        <v>26</v>
      </c>
      <c r="H202" s="206">
        <f t="shared" si="46"/>
        <v>771.63</v>
      </c>
      <c r="I202" s="206">
        <f t="shared" si="57"/>
        <v>846.24</v>
      </c>
      <c r="J202" s="207">
        <f t="shared" si="47"/>
        <v>22002.240000000002</v>
      </c>
      <c r="K202" s="208">
        <f t="shared" si="60"/>
        <v>20062.38</v>
      </c>
      <c r="L202" s="209">
        <f>+J202-K202</f>
        <v>1939.8600000000006</v>
      </c>
      <c r="M202" s="210">
        <f t="shared" si="48"/>
        <v>65.326189361155912</v>
      </c>
      <c r="N202" s="211">
        <f t="shared" si="49"/>
        <v>2005.1861893611565</v>
      </c>
      <c r="O202" s="210">
        <v>0</v>
      </c>
      <c r="P202" s="210">
        <v>0</v>
      </c>
      <c r="Q202" s="210">
        <v>0</v>
      </c>
      <c r="R202" s="211">
        <f t="shared" si="50"/>
        <v>2005.1861893611565</v>
      </c>
    </row>
    <row r="203" spans="1:18" x14ac:dyDescent="0.25">
      <c r="A203" s="125">
        <v>4</v>
      </c>
      <c r="B203" s="202">
        <f t="shared" si="45"/>
        <v>43922</v>
      </c>
      <c r="C203" s="226">
        <f t="shared" si="58"/>
        <v>43956</v>
      </c>
      <c r="D203" s="226">
        <f t="shared" si="58"/>
        <v>43976</v>
      </c>
      <c r="E203" s="212" t="s">
        <v>17</v>
      </c>
      <c r="F203" s="163">
        <v>9</v>
      </c>
      <c r="G203" s="205">
        <v>97</v>
      </c>
      <c r="H203" s="206">
        <f t="shared" si="46"/>
        <v>771.63</v>
      </c>
      <c r="I203" s="206">
        <f t="shared" si="57"/>
        <v>846.24</v>
      </c>
      <c r="J203" s="207">
        <f t="shared" si="47"/>
        <v>82085.279999999999</v>
      </c>
      <c r="K203" s="208">
        <f t="shared" si="60"/>
        <v>74848.11</v>
      </c>
      <c r="L203" s="209">
        <f t="shared" ref="L203:L211" si="61">+J203-K203</f>
        <v>7237.1699999999983</v>
      </c>
      <c r="M203" s="210">
        <f t="shared" si="48"/>
        <v>243.71693723200471</v>
      </c>
      <c r="N203" s="211">
        <f t="shared" si="49"/>
        <v>7480.8869372320032</v>
      </c>
      <c r="O203" s="210">
        <v>0</v>
      </c>
      <c r="P203" s="210">
        <v>0</v>
      </c>
      <c r="Q203" s="210">
        <v>0</v>
      </c>
      <c r="R203" s="211">
        <f t="shared" si="50"/>
        <v>7480.8869372320032</v>
      </c>
    </row>
    <row r="204" spans="1:18" x14ac:dyDescent="0.25">
      <c r="A204" s="163">
        <v>5</v>
      </c>
      <c r="B204" s="202">
        <f t="shared" si="45"/>
        <v>43952</v>
      </c>
      <c r="C204" s="226">
        <f t="shared" si="58"/>
        <v>43985</v>
      </c>
      <c r="D204" s="226">
        <f t="shared" si="58"/>
        <v>44006</v>
      </c>
      <c r="E204" s="54" t="s">
        <v>17</v>
      </c>
      <c r="F204" s="163">
        <v>9</v>
      </c>
      <c r="G204" s="205">
        <v>80</v>
      </c>
      <c r="H204" s="206">
        <f t="shared" si="46"/>
        <v>771.63</v>
      </c>
      <c r="I204" s="206">
        <f t="shared" si="57"/>
        <v>846.24</v>
      </c>
      <c r="J204" s="207">
        <f t="shared" si="47"/>
        <v>67699.199999999997</v>
      </c>
      <c r="K204" s="208">
        <f t="shared" si="60"/>
        <v>61730.400000000001</v>
      </c>
      <c r="L204" s="209">
        <f t="shared" si="61"/>
        <v>5968.7999999999956</v>
      </c>
      <c r="M204" s="210">
        <f t="shared" si="48"/>
        <v>201.0036595727874</v>
      </c>
      <c r="N204" s="211">
        <f t="shared" si="49"/>
        <v>6169.8036595727826</v>
      </c>
      <c r="O204" s="210">
        <v>0</v>
      </c>
      <c r="P204" s="210">
        <v>0</v>
      </c>
      <c r="Q204" s="210">
        <v>0</v>
      </c>
      <c r="R204" s="211">
        <f t="shared" si="50"/>
        <v>6169.8036595727826</v>
      </c>
    </row>
    <row r="205" spans="1:18" x14ac:dyDescent="0.25">
      <c r="A205" s="163">
        <v>6</v>
      </c>
      <c r="B205" s="202">
        <f t="shared" si="45"/>
        <v>43983</v>
      </c>
      <c r="C205" s="226">
        <f t="shared" si="58"/>
        <v>44015</v>
      </c>
      <c r="D205" s="226">
        <f t="shared" si="58"/>
        <v>44036</v>
      </c>
      <c r="E205" s="54" t="s">
        <v>17</v>
      </c>
      <c r="F205" s="163">
        <v>9</v>
      </c>
      <c r="G205" s="205">
        <v>99</v>
      </c>
      <c r="H205" s="206">
        <f t="shared" si="46"/>
        <v>771.63</v>
      </c>
      <c r="I205" s="206">
        <f t="shared" si="57"/>
        <v>846.24</v>
      </c>
      <c r="J205" s="207">
        <f t="shared" si="47"/>
        <v>83777.759999999995</v>
      </c>
      <c r="K205" s="208">
        <f t="shared" si="60"/>
        <v>76391.37</v>
      </c>
      <c r="L205" s="213">
        <f t="shared" si="61"/>
        <v>7386.3899999999994</v>
      </c>
      <c r="M205" s="210">
        <f t="shared" si="48"/>
        <v>248.7420287213244</v>
      </c>
      <c r="N205" s="211">
        <f t="shared" si="49"/>
        <v>7635.1320287213239</v>
      </c>
      <c r="O205" s="210">
        <v>0</v>
      </c>
      <c r="P205" s="210">
        <v>0</v>
      </c>
      <c r="Q205" s="210">
        <v>0</v>
      </c>
      <c r="R205" s="211">
        <f t="shared" si="50"/>
        <v>7635.1320287213239</v>
      </c>
    </row>
    <row r="206" spans="1:18" x14ac:dyDescent="0.25">
      <c r="A206" s="125">
        <v>7</v>
      </c>
      <c r="B206" s="202">
        <f t="shared" si="45"/>
        <v>44013</v>
      </c>
      <c r="C206" s="226">
        <f t="shared" si="58"/>
        <v>44048</v>
      </c>
      <c r="D206" s="226">
        <f t="shared" si="58"/>
        <v>44067</v>
      </c>
      <c r="E206" s="54" t="s">
        <v>17</v>
      </c>
      <c r="F206" s="163">
        <v>9</v>
      </c>
      <c r="G206" s="205">
        <v>111</v>
      </c>
      <c r="H206" s="206">
        <f t="shared" si="46"/>
        <v>771.63</v>
      </c>
      <c r="I206" s="206">
        <f t="shared" si="57"/>
        <v>846.24</v>
      </c>
      <c r="J206" s="207">
        <f t="shared" si="47"/>
        <v>93932.64</v>
      </c>
      <c r="K206" s="214">
        <f t="shared" si="60"/>
        <v>85650.93</v>
      </c>
      <c r="L206" s="213">
        <f t="shared" si="61"/>
        <v>8281.7100000000064</v>
      </c>
      <c r="M206" s="210">
        <f t="shared" si="48"/>
        <v>278.8925776572425</v>
      </c>
      <c r="N206" s="211">
        <f t="shared" si="49"/>
        <v>8560.6025776572496</v>
      </c>
      <c r="O206" s="210">
        <v>0</v>
      </c>
      <c r="P206" s="210">
        <v>0</v>
      </c>
      <c r="Q206" s="210">
        <v>0</v>
      </c>
      <c r="R206" s="211">
        <f t="shared" si="50"/>
        <v>8560.6025776572496</v>
      </c>
    </row>
    <row r="207" spans="1:18" x14ac:dyDescent="0.25">
      <c r="A207" s="163">
        <v>8</v>
      </c>
      <c r="B207" s="202">
        <f t="shared" si="45"/>
        <v>44044</v>
      </c>
      <c r="C207" s="226">
        <f t="shared" si="58"/>
        <v>44077</v>
      </c>
      <c r="D207" s="226">
        <f t="shared" si="58"/>
        <v>44098</v>
      </c>
      <c r="E207" s="54" t="s">
        <v>17</v>
      </c>
      <c r="F207" s="163">
        <v>9</v>
      </c>
      <c r="G207" s="205">
        <v>112</v>
      </c>
      <c r="H207" s="206">
        <f t="shared" si="46"/>
        <v>771.63</v>
      </c>
      <c r="I207" s="206">
        <f t="shared" si="57"/>
        <v>846.24</v>
      </c>
      <c r="J207" s="207">
        <f t="shared" si="47"/>
        <v>94778.880000000005</v>
      </c>
      <c r="K207" s="214">
        <f t="shared" si="60"/>
        <v>86422.56</v>
      </c>
      <c r="L207" s="213">
        <f t="shared" si="61"/>
        <v>8356.320000000007</v>
      </c>
      <c r="M207" s="210">
        <f t="shared" si="48"/>
        <v>281.40512340190236</v>
      </c>
      <c r="N207" s="211">
        <f t="shared" si="49"/>
        <v>8637.7251234019095</v>
      </c>
      <c r="O207" s="210">
        <v>0</v>
      </c>
      <c r="P207" s="210">
        <v>0</v>
      </c>
      <c r="Q207" s="210">
        <v>0</v>
      </c>
      <c r="R207" s="211">
        <f t="shared" si="50"/>
        <v>8637.7251234019095</v>
      </c>
    </row>
    <row r="208" spans="1:18" x14ac:dyDescent="0.25">
      <c r="A208" s="163">
        <v>9</v>
      </c>
      <c r="B208" s="202">
        <f t="shared" si="45"/>
        <v>44075</v>
      </c>
      <c r="C208" s="226">
        <f t="shared" si="58"/>
        <v>44109</v>
      </c>
      <c r="D208" s="226">
        <f t="shared" si="58"/>
        <v>44130</v>
      </c>
      <c r="E208" s="54" t="s">
        <v>17</v>
      </c>
      <c r="F208" s="163">
        <v>9</v>
      </c>
      <c r="G208" s="205">
        <v>114</v>
      </c>
      <c r="H208" s="206">
        <f t="shared" si="46"/>
        <v>771.63</v>
      </c>
      <c r="I208" s="206">
        <f t="shared" si="57"/>
        <v>846.24</v>
      </c>
      <c r="J208" s="207">
        <f t="shared" si="47"/>
        <v>96471.360000000001</v>
      </c>
      <c r="K208" s="214">
        <f t="shared" si="60"/>
        <v>87965.819999999992</v>
      </c>
      <c r="L208" s="213">
        <f t="shared" si="61"/>
        <v>8505.5400000000081</v>
      </c>
      <c r="M208" s="210">
        <f t="shared" si="48"/>
        <v>286.43021489122202</v>
      </c>
      <c r="N208" s="211">
        <f t="shared" si="49"/>
        <v>8791.9702148912293</v>
      </c>
      <c r="O208" s="210">
        <v>0</v>
      </c>
      <c r="P208" s="210">
        <v>0</v>
      </c>
      <c r="Q208" s="210">
        <v>0</v>
      </c>
      <c r="R208" s="211">
        <f t="shared" si="50"/>
        <v>8791.9702148912293</v>
      </c>
    </row>
    <row r="209" spans="1:18" x14ac:dyDescent="0.25">
      <c r="A209" s="125">
        <v>10</v>
      </c>
      <c r="B209" s="202">
        <f t="shared" si="45"/>
        <v>44105</v>
      </c>
      <c r="C209" s="226">
        <f t="shared" si="58"/>
        <v>44139</v>
      </c>
      <c r="D209" s="226">
        <f t="shared" si="58"/>
        <v>44159</v>
      </c>
      <c r="E209" s="54" t="s">
        <v>17</v>
      </c>
      <c r="F209" s="163">
        <v>9</v>
      </c>
      <c r="G209" s="205">
        <v>96</v>
      </c>
      <c r="H209" s="206">
        <f t="shared" si="46"/>
        <v>771.63</v>
      </c>
      <c r="I209" s="206">
        <f t="shared" si="57"/>
        <v>846.24</v>
      </c>
      <c r="J209" s="207">
        <f t="shared" si="47"/>
        <v>81239.040000000008</v>
      </c>
      <c r="K209" s="214">
        <f t="shared" si="60"/>
        <v>74076.479999999996</v>
      </c>
      <c r="L209" s="213">
        <f t="shared" si="61"/>
        <v>7162.5600000000122</v>
      </c>
      <c r="M209" s="210">
        <f t="shared" si="48"/>
        <v>241.20439148734485</v>
      </c>
      <c r="N209" s="211">
        <f t="shared" si="49"/>
        <v>7403.764391487357</v>
      </c>
      <c r="O209" s="210">
        <v>0</v>
      </c>
      <c r="P209" s="210">
        <v>0</v>
      </c>
      <c r="Q209" s="210">
        <v>0</v>
      </c>
      <c r="R209" s="211">
        <f t="shared" si="50"/>
        <v>7403.764391487357</v>
      </c>
    </row>
    <row r="210" spans="1:18" x14ac:dyDescent="0.25">
      <c r="A210" s="163">
        <v>11</v>
      </c>
      <c r="B210" s="202">
        <f t="shared" si="45"/>
        <v>44136</v>
      </c>
      <c r="C210" s="226">
        <f t="shared" si="58"/>
        <v>44168</v>
      </c>
      <c r="D210" s="226">
        <f t="shared" si="58"/>
        <v>44189</v>
      </c>
      <c r="E210" s="54" t="s">
        <v>17</v>
      </c>
      <c r="F210" s="163">
        <v>9</v>
      </c>
      <c r="G210" s="205">
        <v>100</v>
      </c>
      <c r="H210" s="206">
        <f t="shared" si="46"/>
        <v>771.63</v>
      </c>
      <c r="I210" s="206">
        <f t="shared" si="57"/>
        <v>846.24</v>
      </c>
      <c r="J210" s="207">
        <f t="shared" si="47"/>
        <v>84624</v>
      </c>
      <c r="K210" s="214">
        <f>+$G210*H210</f>
        <v>77163</v>
      </c>
      <c r="L210" s="213">
        <f t="shared" si="61"/>
        <v>7461</v>
      </c>
      <c r="M210" s="210">
        <f t="shared" si="48"/>
        <v>251.25457446598423</v>
      </c>
      <c r="N210" s="211">
        <f t="shared" si="49"/>
        <v>7712.2545744659847</v>
      </c>
      <c r="O210" s="210">
        <v>0</v>
      </c>
      <c r="P210" s="210">
        <v>0</v>
      </c>
      <c r="Q210" s="210">
        <v>0</v>
      </c>
      <c r="R210" s="211">
        <f t="shared" si="50"/>
        <v>7712.2545744659847</v>
      </c>
    </row>
    <row r="211" spans="1:18" s="230" customFormat="1" x14ac:dyDescent="0.25">
      <c r="A211" s="163">
        <v>12</v>
      </c>
      <c r="B211" s="228">
        <f t="shared" si="45"/>
        <v>44166</v>
      </c>
      <c r="C211" s="231">
        <f t="shared" si="58"/>
        <v>44202</v>
      </c>
      <c r="D211" s="231">
        <f t="shared" si="58"/>
        <v>44221</v>
      </c>
      <c r="E211" s="229" t="s">
        <v>17</v>
      </c>
      <c r="F211" s="174">
        <v>9</v>
      </c>
      <c r="G211" s="217">
        <v>105</v>
      </c>
      <c r="H211" s="218">
        <f t="shared" si="46"/>
        <v>771.63</v>
      </c>
      <c r="I211" s="218">
        <f t="shared" si="57"/>
        <v>846.24</v>
      </c>
      <c r="J211" s="219">
        <f t="shared" si="47"/>
        <v>88855.2</v>
      </c>
      <c r="K211" s="220">
        <f>+$G211*H211</f>
        <v>81021.149999999994</v>
      </c>
      <c r="L211" s="221">
        <f t="shared" si="61"/>
        <v>7834.0500000000029</v>
      </c>
      <c r="M211" s="219">
        <f t="shared" si="48"/>
        <v>263.81730318928345</v>
      </c>
      <c r="N211" s="211">
        <f t="shared" si="49"/>
        <v>8097.8673031892868</v>
      </c>
      <c r="O211" s="210">
        <v>0</v>
      </c>
      <c r="P211" s="210">
        <v>0</v>
      </c>
      <c r="Q211" s="210">
        <v>0</v>
      </c>
      <c r="R211" s="211">
        <f t="shared" si="50"/>
        <v>8097.8673031892868</v>
      </c>
    </row>
    <row r="212" spans="1:18" x14ac:dyDescent="0.25">
      <c r="G212" s="236">
        <f>SUM(G20:G211)</f>
        <v>94887</v>
      </c>
      <c r="H212" s="51"/>
      <c r="I212" s="51"/>
      <c r="J212" s="51">
        <f>SUM(J20:J211)</f>
        <v>80297174.8800001</v>
      </c>
      <c r="K212" s="51">
        <f>SUM(K20:K211)</f>
        <v>73217655.810000077</v>
      </c>
      <c r="L212" s="51">
        <f>SUM(L20:L211)</f>
        <v>7079519.0699999984</v>
      </c>
      <c r="M212" s="51">
        <f>SUM(M20:M211)</f>
        <v>238407.92807353861</v>
      </c>
      <c r="N212" s="51"/>
      <c r="O212" s="51"/>
      <c r="P212" s="51">
        <f>SUM(P20:P211)</f>
        <v>0</v>
      </c>
      <c r="Q212" s="51"/>
      <c r="R212" s="237">
        <f>SUM(R20:R211)</f>
        <v>7317926.9980735369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5059E5A-B684-4869-8803-AE1B481D6C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4e4d00fa-2934-471b-88ac-5bd852cdb2aa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